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65521" yWindow="65521" windowWidth="9630" windowHeight="5190" activeTab="0"/>
  </bookViews>
  <sheets>
    <sheet name="Input" sheetId="2" r:id="rId1"/>
    <sheet name="Data" sheetId="1" r:id="rId2"/>
  </sheets>
  <definedNames>
    <definedName name="_xlnm.Print_Area" localSheetId="1">'Data'!$A$1:$J$64</definedName>
    <definedName name="_xlnm.Print_Area">'Data'!$A$1:$J$43</definedName>
    <definedName name="Print_Area_MI" localSheetId="1">'Data'!$A$1:$J$43</definedName>
    <definedName name="PRINT_AREA_MI">'Data'!$A$1:$J$43</definedName>
  </definedNames>
  <calcPr calcId="152511"/>
</workbook>
</file>

<file path=xl/sharedStrings.xml><?xml version="1.0" encoding="utf-8"?>
<sst xmlns="http://schemas.openxmlformats.org/spreadsheetml/2006/main" count="100" uniqueCount="84">
  <si>
    <t>CONTRACT:</t>
  </si>
  <si>
    <t>LETABLE AREA IN SQ. METRES :</t>
  </si>
  <si>
    <t>BUILDING POPULATION :</t>
  </si>
  <si>
    <t>USING SQUARE METRES PER PERSON OF :</t>
  </si>
  <si>
    <t xml:space="preserve">15% OF POPULATION :  </t>
  </si>
  <si>
    <t>OPENING IN MM :</t>
  </si>
  <si>
    <t>NO/CARS:</t>
  </si>
  <si>
    <t>NO. PASS</t>
  </si>
  <si>
    <t>DATE:</t>
  </si>
  <si>
    <t>R</t>
  </si>
  <si>
    <t>NO. OF PASSENGERS</t>
  </si>
  <si>
    <t>V</t>
  </si>
  <si>
    <t>SPEED IN METRES PER SECOND</t>
  </si>
  <si>
    <t>N</t>
  </si>
  <si>
    <t>NO. OF STOPS ABOVE LOBBY</t>
  </si>
  <si>
    <t>PASSENGERS PER TRIP</t>
  </si>
  <si>
    <t>PL</t>
  </si>
  <si>
    <t>NO. OF PROBABLE LOCAL STOPS</t>
  </si>
  <si>
    <t>PE</t>
  </si>
  <si>
    <t>NO. OF PROBABLE EXPRESS STOPS</t>
  </si>
  <si>
    <t>P</t>
  </si>
  <si>
    <t>TOTAL PROBABLE STOPS</t>
  </si>
  <si>
    <t>SL</t>
  </si>
  <si>
    <t>TRIP LENGTH LOCAL ZONE</t>
  </si>
  <si>
    <t>SE</t>
  </si>
  <si>
    <t>TRIP LENGTH EXPRESS ZONE</t>
  </si>
  <si>
    <t>J</t>
  </si>
  <si>
    <t>AVERAGE TRIP LENGTH</t>
  </si>
  <si>
    <t>TJ</t>
  </si>
  <si>
    <t>AVERAGE TRIP TIME</t>
  </si>
  <si>
    <t>TL</t>
  </si>
  <si>
    <t>TRIP TIME LOCAL ZONE</t>
  </si>
  <si>
    <t>TAE</t>
  </si>
  <si>
    <t>ADDITIONAL EXPRESS TIME</t>
  </si>
  <si>
    <t>TE</t>
  </si>
  <si>
    <t>TRIP TIME EXPRESS ZONE</t>
  </si>
  <si>
    <t>TD</t>
  </si>
  <si>
    <t>DOOR CLOSE TIME</t>
  </si>
  <si>
    <t>TR</t>
  </si>
  <si>
    <t>PASSENGER TRANSFER TIME</t>
  </si>
  <si>
    <t>TA</t>
  </si>
  <si>
    <t>LOST TIME</t>
  </si>
  <si>
    <t>RTT</t>
  </si>
  <si>
    <t>ROUND TRIP TIME (SECS)</t>
  </si>
  <si>
    <t>HC</t>
  </si>
  <si>
    <t>PASS. HAND. CAP. IN 5 MINS.</t>
  </si>
  <si>
    <t>NR</t>
  </si>
  <si>
    <t>NUMBER OF CARS REQUIRED</t>
  </si>
  <si>
    <t>NO</t>
  </si>
  <si>
    <t>ACTUAL NUMBER OF CARS</t>
  </si>
  <si>
    <t>AWI</t>
  </si>
  <si>
    <t>AVERAGE WAITING INTERVAL (SECS)</t>
  </si>
  <si>
    <t xml:space="preserve">  </t>
  </si>
  <si>
    <t>TAWT</t>
  </si>
  <si>
    <t>THEORETICAL A. W. T. (SECS)</t>
  </si>
  <si>
    <t>QC</t>
  </si>
  <si>
    <t>HANDLING CAPACITY IN 5 MINS (%)</t>
  </si>
  <si>
    <t>FT</t>
  </si>
  <si>
    <t>BUILDING FILLING TIME (MINS)</t>
  </si>
  <si>
    <t>EXP.ZONE TRAVEL:</t>
  </si>
  <si>
    <t>Letable Area in Sq.Metres</t>
  </si>
  <si>
    <t>No of Cars</t>
  </si>
  <si>
    <t>No of Passengers</t>
  </si>
  <si>
    <t>No of Stops</t>
  </si>
  <si>
    <t>Date:</t>
  </si>
  <si>
    <t>Contract Name:</t>
  </si>
  <si>
    <t>STOPS ABOVE OR BELOW LOBBY</t>
  </si>
  <si>
    <t>TRAFFIC STUDY PASSENGER ELEVATORS</t>
  </si>
  <si>
    <t>Basic Traffic Analysis</t>
  </si>
  <si>
    <t>SPEED OF LIFT (# meters per minute)</t>
  </si>
  <si>
    <t>m/Sec</t>
  </si>
  <si>
    <t>Sq. Metres per person</t>
  </si>
  <si>
    <t>Entrance Opening Width</t>
  </si>
  <si>
    <t>ISO LOADS</t>
  </si>
  <si>
    <t>Information Only</t>
  </si>
  <si>
    <t>LOC.ZONE TRAVEL (M):</t>
  </si>
  <si>
    <t>EXP/STOP (PE):</t>
  </si>
  <si>
    <t>Building Population (Area per person)</t>
  </si>
  <si>
    <t>Persons per Lift</t>
  </si>
  <si>
    <t>.</t>
  </si>
  <si>
    <t>HQ = Travel / Metres</t>
  </si>
  <si>
    <t>V = Speed # m/min.</t>
  </si>
  <si>
    <t>&lt;Enter Project Name&gt;</t>
  </si>
  <si>
    <r>
      <t xml:space="preserve">"User input at </t>
    </r>
    <r>
      <rPr>
        <b/>
        <sz val="12"/>
        <color indexed="50"/>
        <rFont val="Helv"/>
        <family val="2"/>
      </rPr>
      <t>green</t>
    </r>
    <r>
      <rPr>
        <sz val="12"/>
        <rFont val="Helv"/>
        <family val="2"/>
      </rPr>
      <t xml:space="preserve"> cells only"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</si>
</sst>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_)"/>
    <numFmt numFmtId="165" formatCode="0_)"/>
    <numFmt numFmtId="166" formatCode="0.000_)"/>
    <numFmt numFmtId="167" formatCode="#0\ &quot;mm&quot;"/>
    <numFmt numFmtId="168" formatCode="#0\ &quot;m/min.&quot;"/>
    <numFmt numFmtId="169" formatCode="#0.000\ &quot;metres.&quot;"/>
  </numFmts>
  <fonts count="18">
    <font>
      <sz val="12"/>
      <name val="Helv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Helv"/>
      <family val="2"/>
    </font>
    <font>
      <b/>
      <sz val="14"/>
      <name val="Helv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Helv"/>
      <family val="2"/>
    </font>
    <font>
      <b/>
      <sz val="18"/>
      <color indexed="12"/>
      <name val="Helv"/>
      <family val="2"/>
    </font>
    <font>
      <sz val="12"/>
      <color indexed="9"/>
      <name val="Arial Narrow"/>
      <family val="2"/>
    </font>
    <font>
      <b/>
      <sz val="12"/>
      <color indexed="50"/>
      <name val="Helv"/>
      <family val="2"/>
    </font>
    <font>
      <b/>
      <sz val="14"/>
      <color indexed="12"/>
      <name val="Helv"/>
      <family val="2"/>
    </font>
    <font>
      <sz val="10"/>
      <name val="Helv"/>
      <family val="2"/>
    </font>
    <font>
      <b/>
      <sz val="12"/>
      <color rgb="FFFF0000"/>
      <name val="Helv"/>
      <family val="2"/>
    </font>
    <font>
      <sz val="12"/>
      <color rgb="FF000000"/>
      <name val="Helv"/>
      <family val="2"/>
    </font>
    <font>
      <b/>
      <sz val="12"/>
      <color rgb="FF000000"/>
      <name val="Helv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medium"/>
      <top/>
      <bottom style="thin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/>
      <top style="medium"/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/>
      <right/>
      <top/>
      <bottom style="medium"/>
    </border>
    <border>
      <left style="medium"/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indexed="8"/>
      </left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9">
    <xf numFmtId="164" fontId="0" fillId="0" borderId="0" xfId="0"/>
    <xf numFmtId="164" fontId="2" fillId="0" borderId="0" xfId="0" applyFont="1"/>
    <xf numFmtId="164" fontId="5" fillId="0" borderId="0" xfId="0" applyFont="1"/>
    <xf numFmtId="164" fontId="0" fillId="0" borderId="0" xfId="0" applyAlignment="1">
      <alignment horizontal="center"/>
    </xf>
    <xf numFmtId="164" fontId="0" fillId="0" borderId="1" xfId="0" applyBorder="1"/>
    <xf numFmtId="164" fontId="0" fillId="0" borderId="2" xfId="0" applyBorder="1"/>
    <xf numFmtId="164" fontId="2" fillId="2" borderId="3" xfId="0" applyNumberFormat="1" applyFont="1" applyFill="1" applyBorder="1" applyAlignment="1" applyProtection="1">
      <alignment horizontal="left"/>
      <protection/>
    </xf>
    <xf numFmtId="164" fontId="0" fillId="2" borderId="4" xfId="0" applyFill="1" applyBorder="1" applyAlignment="1">
      <alignment horizontal="center"/>
    </xf>
    <xf numFmtId="164" fontId="2" fillId="2" borderId="5" xfId="0" applyNumberFormat="1" applyFont="1" applyFill="1" applyBorder="1" applyAlignment="1" applyProtection="1">
      <alignment horizontal="left"/>
      <protection/>
    </xf>
    <xf numFmtId="164" fontId="0" fillId="2" borderId="6" xfId="0" applyFill="1" applyBorder="1" applyAlignment="1">
      <alignment horizontal="center"/>
    </xf>
    <xf numFmtId="164" fontId="2" fillId="2" borderId="7" xfId="0" applyNumberFormat="1" applyFont="1" applyFill="1" applyBorder="1" applyAlignment="1" applyProtection="1">
      <alignment horizontal="left"/>
      <protection/>
    </xf>
    <xf numFmtId="164" fontId="0" fillId="2" borderId="8" xfId="0" applyFill="1" applyBorder="1" applyAlignment="1">
      <alignment horizontal="center"/>
    </xf>
    <xf numFmtId="164" fontId="4" fillId="2" borderId="3" xfId="0" applyFont="1" applyFill="1" applyBorder="1"/>
    <xf numFmtId="164" fontId="4" fillId="2" borderId="5" xfId="0" applyFont="1" applyFill="1" applyBorder="1"/>
    <xf numFmtId="164" fontId="4" fillId="2" borderId="7" xfId="0" applyFont="1" applyFill="1" applyBorder="1"/>
    <xf numFmtId="164" fontId="3" fillId="2" borderId="3" xfId="0" applyNumberFormat="1" applyFont="1" applyFill="1" applyBorder="1" applyAlignment="1" applyProtection="1">
      <alignment horizontal="left"/>
      <protection/>
    </xf>
    <xf numFmtId="164" fontId="3" fillId="2" borderId="7" xfId="0" applyNumberFormat="1" applyFont="1" applyFill="1" applyBorder="1" applyAlignment="1" applyProtection="1">
      <alignment horizontal="left"/>
      <protection/>
    </xf>
    <xf numFmtId="164" fontId="4" fillId="2" borderId="8" xfId="0" applyFont="1" applyFill="1" applyBorder="1" applyAlignment="1">
      <alignment horizontal="center"/>
    </xf>
    <xf numFmtId="164" fontId="2" fillId="0" borderId="0" xfId="0" applyFont="1" applyBorder="1"/>
    <xf numFmtId="164" fontId="7" fillId="0" borderId="9" xfId="0" applyNumberFormat="1" applyFont="1" applyBorder="1" applyAlignment="1" applyProtection="1">
      <alignment horizontal="left"/>
      <protection/>
    </xf>
    <xf numFmtId="164" fontId="7" fillId="0" borderId="0" xfId="0" applyFont="1" applyBorder="1"/>
    <xf numFmtId="164" fontId="7" fillId="0" borderId="0" xfId="0" applyNumberFormat="1" applyFont="1" applyBorder="1" applyAlignment="1" applyProtection="1">
      <alignment horizontal="left"/>
      <protection/>
    </xf>
    <xf numFmtId="164" fontId="7" fillId="0" borderId="0" xfId="0" applyFont="1" applyFill="1" applyBorder="1"/>
    <xf numFmtId="164" fontId="7" fillId="0" borderId="10" xfId="0" applyFont="1" applyBorder="1"/>
    <xf numFmtId="164" fontId="7" fillId="0" borderId="11" xfId="0" applyNumberFormat="1" applyFont="1" applyBorder="1" applyAlignment="1" applyProtection="1">
      <alignment horizontal="left"/>
      <protection/>
    </xf>
    <xf numFmtId="164" fontId="7" fillId="0" borderId="12" xfId="0" applyFont="1" applyBorder="1"/>
    <xf numFmtId="165" fontId="7" fillId="0" borderId="13" xfId="0" applyNumberFormat="1" applyFont="1" applyBorder="1" applyAlignment="1" applyProtection="1">
      <alignment horizontal="center"/>
      <protection/>
    </xf>
    <xf numFmtId="164" fontId="8" fillId="0" borderId="0" xfId="0" applyFont="1" applyBorder="1"/>
    <xf numFmtId="165" fontId="7" fillId="0" borderId="6" xfId="0" applyNumberFormat="1" applyFont="1" applyBorder="1" applyAlignment="1" applyProtection="1">
      <alignment horizontal="center"/>
      <protection/>
    </xf>
    <xf numFmtId="164" fontId="7" fillId="0" borderId="14" xfId="0" applyNumberFormat="1" applyFont="1" applyBorder="1" applyAlignment="1" applyProtection="1">
      <alignment horizontal="left"/>
      <protection/>
    </xf>
    <xf numFmtId="164" fontId="7" fillId="0" borderId="15" xfId="0" applyFont="1" applyBorder="1"/>
    <xf numFmtId="164" fontId="7" fillId="0" borderId="16" xfId="0" applyFont="1" applyBorder="1"/>
    <xf numFmtId="164" fontId="7" fillId="0" borderId="4" xfId="0" applyNumberFormat="1" applyFont="1" applyBorder="1" applyAlignment="1" applyProtection="1">
      <alignment horizontal="center"/>
      <protection/>
    </xf>
    <xf numFmtId="164" fontId="7" fillId="0" borderId="17" xfId="0" applyFont="1" applyBorder="1"/>
    <xf numFmtId="164" fontId="7" fillId="0" borderId="18" xfId="0" applyFont="1" applyBorder="1"/>
    <xf numFmtId="164" fontId="7" fillId="0" borderId="12" xfId="0" applyNumberFormat="1" applyFont="1" applyBorder="1" applyAlignment="1" applyProtection="1">
      <alignment horizontal="left"/>
      <protection/>
    </xf>
    <xf numFmtId="166" fontId="7" fillId="0" borderId="6" xfId="0" applyNumberFormat="1" applyFont="1" applyBorder="1" applyAlignment="1" applyProtection="1">
      <alignment horizontal="center"/>
      <protection/>
    </xf>
    <xf numFmtId="164" fontId="7" fillId="0" borderId="19" xfId="0" applyFont="1" applyBorder="1"/>
    <xf numFmtId="164" fontId="7" fillId="0" borderId="20" xfId="0" applyNumberFormat="1" applyFont="1" applyBorder="1" applyAlignment="1" applyProtection="1">
      <alignment horizontal="left"/>
      <protection/>
    </xf>
    <xf numFmtId="15" fontId="7" fillId="0" borderId="6" xfId="0" applyNumberFormat="1" applyFont="1" applyBorder="1" applyAlignment="1" applyProtection="1" quotePrefix="1">
      <alignment horizontal="center"/>
      <protection/>
    </xf>
    <xf numFmtId="164" fontId="7" fillId="0" borderId="2" xfId="0" applyNumberFormat="1" applyFont="1" applyBorder="1" applyAlignment="1" applyProtection="1">
      <alignment horizontal="left"/>
      <protection/>
    </xf>
    <xf numFmtId="164" fontId="7" fillId="0" borderId="21" xfId="0" applyFont="1" applyBorder="1"/>
    <xf numFmtId="0" fontId="7" fillId="0" borderId="22" xfId="0" applyNumberFormat="1" applyFont="1" applyBorder="1" applyAlignment="1" applyProtection="1">
      <alignment horizontal="center"/>
      <protection/>
    </xf>
    <xf numFmtId="0" fontId="7" fillId="0" borderId="23" xfId="0" applyNumberFormat="1" applyFont="1" applyBorder="1" applyAlignment="1" applyProtection="1">
      <alignment horizontal="center"/>
      <protection/>
    </xf>
    <xf numFmtId="0" fontId="7" fillId="0" borderId="24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center"/>
      <protection/>
    </xf>
    <xf numFmtId="164" fontId="7" fillId="0" borderId="9" xfId="0" applyNumberFormat="1" applyFont="1" applyBorder="1" applyAlignment="1" applyProtection="1">
      <alignment horizontal="centerContinuous"/>
      <protection/>
    </xf>
    <xf numFmtId="164" fontId="7" fillId="0" borderId="16" xfId="0" applyNumberFormat="1" applyFont="1" applyBorder="1" applyAlignment="1" applyProtection="1">
      <alignment horizontal="left"/>
      <protection/>
    </xf>
    <xf numFmtId="164" fontId="7" fillId="0" borderId="25" xfId="0" applyNumberFormat="1" applyFont="1" applyBorder="1" applyProtection="1">
      <protection/>
    </xf>
    <xf numFmtId="164" fontId="7" fillId="0" borderId="16" xfId="0" applyNumberFormat="1" applyFont="1" applyBorder="1" applyProtection="1">
      <protection/>
    </xf>
    <xf numFmtId="164" fontId="7" fillId="0" borderId="26" xfId="0" applyNumberFormat="1" applyFont="1" applyBorder="1" applyProtection="1">
      <protection/>
    </xf>
    <xf numFmtId="164" fontId="7" fillId="0" borderId="1" xfId="0" applyNumberFormat="1" applyFont="1" applyBorder="1" applyAlignment="1" applyProtection="1">
      <alignment horizontal="centerContinuous"/>
      <protection/>
    </xf>
    <xf numFmtId="164" fontId="7" fillId="0" borderId="27" xfId="0" applyNumberFormat="1" applyFont="1" applyBorder="1" applyProtection="1">
      <protection/>
    </xf>
    <xf numFmtId="164" fontId="7" fillId="0" borderId="0" xfId="0" applyNumberFormat="1" applyFont="1" applyBorder="1" applyProtection="1">
      <protection/>
    </xf>
    <xf numFmtId="164" fontId="7" fillId="0" borderId="10" xfId="0" applyNumberFormat="1" applyFont="1" applyBorder="1" applyProtection="1">
      <protection/>
    </xf>
    <xf numFmtId="164" fontId="7" fillId="0" borderId="1" xfId="0" applyFont="1" applyBorder="1" applyAlignment="1">
      <alignment horizontal="centerContinuous"/>
    </xf>
    <xf numFmtId="164" fontId="7" fillId="0" borderId="27" xfId="0" applyFont="1" applyBorder="1"/>
    <xf numFmtId="164" fontId="7" fillId="0" borderId="2" xfId="0" applyFont="1" applyBorder="1"/>
    <xf numFmtId="164" fontId="7" fillId="0" borderId="28" xfId="0" applyFont="1" applyBorder="1"/>
    <xf numFmtId="164" fontId="7" fillId="0" borderId="24" xfId="0" applyFont="1" applyBorder="1"/>
    <xf numFmtId="1" fontId="7" fillId="0" borderId="29" xfId="0" applyNumberFormat="1" applyFont="1" applyBorder="1" applyAlignment="1" applyProtection="1">
      <alignment horizontal="center"/>
      <protection/>
    </xf>
    <xf numFmtId="1" fontId="4" fillId="2" borderId="6" xfId="0" applyNumberFormat="1" applyFont="1" applyFill="1" applyBorder="1" applyAlignment="1">
      <alignment horizontal="center"/>
    </xf>
    <xf numFmtId="164" fontId="4" fillId="2" borderId="4" xfId="0" applyFont="1" applyFill="1" applyBorder="1" applyAlignment="1">
      <alignment horizontal="center"/>
    </xf>
    <xf numFmtId="15" fontId="5" fillId="2" borderId="30" xfId="0" applyNumberFormat="1" applyFont="1" applyFill="1" applyBorder="1" applyAlignment="1">
      <alignment horizontal="center"/>
    </xf>
    <xf numFmtId="164" fontId="0" fillId="3" borderId="0" xfId="0" applyFill="1"/>
    <xf numFmtId="164" fontId="5" fillId="3" borderId="0" xfId="0" applyFont="1" applyFill="1"/>
    <xf numFmtId="164" fontId="0" fillId="3" borderId="0" xfId="0" applyFill="1" applyAlignment="1">
      <alignment horizontal="center"/>
    </xf>
    <xf numFmtId="164" fontId="0" fillId="3" borderId="9" xfId="0" applyFill="1" applyBorder="1"/>
    <xf numFmtId="164" fontId="0" fillId="3" borderId="16" xfId="0" applyFill="1" applyBorder="1"/>
    <xf numFmtId="164" fontId="0" fillId="3" borderId="1" xfId="0" applyFill="1" applyBorder="1"/>
    <xf numFmtId="164" fontId="0" fillId="3" borderId="2" xfId="0" applyFill="1" applyBorder="1"/>
    <xf numFmtId="164" fontId="0" fillId="3" borderId="26" xfId="0" applyFill="1" applyBorder="1"/>
    <xf numFmtId="164" fontId="0" fillId="3" borderId="10" xfId="0" applyFill="1" applyBorder="1"/>
    <xf numFmtId="164" fontId="0" fillId="3" borderId="0" xfId="0" applyFill="1" applyBorder="1"/>
    <xf numFmtId="164" fontId="0" fillId="3" borderId="24" xfId="0" applyFill="1" applyBorder="1"/>
    <xf numFmtId="164" fontId="0" fillId="0" borderId="26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left"/>
      <protection/>
    </xf>
    <xf numFmtId="164" fontId="0" fillId="0" borderId="10" xfId="0" applyFill="1" applyBorder="1" applyAlignment="1">
      <alignment horizontal="center"/>
    </xf>
    <xf numFmtId="164" fontId="0" fillId="0" borderId="24" xfId="0" applyBorder="1" applyAlignment="1">
      <alignment horizontal="center"/>
    </xf>
    <xf numFmtId="1" fontId="0" fillId="3" borderId="0" xfId="0" applyNumberFormat="1" applyFill="1"/>
    <xf numFmtId="1" fontId="0" fillId="3" borderId="0" xfId="0" applyNumberFormat="1" applyFill="1" applyAlignment="1">
      <alignment horizontal="center"/>
    </xf>
    <xf numFmtId="164" fontId="0" fillId="3" borderId="21" xfId="0" applyFill="1" applyBorder="1"/>
    <xf numFmtId="164" fontId="10" fillId="3" borderId="0" xfId="0" applyFont="1" applyFill="1"/>
    <xf numFmtId="1" fontId="7" fillId="0" borderId="30" xfId="0" applyNumberFormat="1" applyFont="1" applyBorder="1" applyAlignment="1" applyProtection="1">
      <alignment horizontal="center"/>
      <protection/>
    </xf>
    <xf numFmtId="164" fontId="7" fillId="3" borderId="25" xfId="0" applyNumberFormat="1" applyFont="1" applyFill="1" applyBorder="1" applyProtection="1">
      <protection/>
    </xf>
    <xf numFmtId="164" fontId="7" fillId="3" borderId="27" xfId="0" applyNumberFormat="1" applyFont="1" applyFill="1" applyBorder="1" applyProtection="1">
      <protection/>
    </xf>
    <xf numFmtId="164" fontId="7" fillId="3" borderId="27" xfId="0" applyFont="1" applyFill="1" applyBorder="1"/>
    <xf numFmtId="164" fontId="7" fillId="3" borderId="28" xfId="0" applyFont="1" applyFill="1" applyBorder="1"/>
    <xf numFmtId="164" fontId="7" fillId="3" borderId="1" xfId="0" applyNumberFormat="1" applyFont="1" applyFill="1" applyBorder="1" applyAlignment="1" applyProtection="1">
      <alignment horizontal="centerContinuous"/>
      <protection/>
    </xf>
    <xf numFmtId="164" fontId="7" fillId="3" borderId="0" xfId="0" applyNumberFormat="1" applyFont="1" applyFill="1" applyBorder="1" applyAlignment="1" applyProtection="1">
      <alignment horizontal="left"/>
      <protection/>
    </xf>
    <xf numFmtId="164" fontId="7" fillId="3" borderId="0" xfId="0" applyNumberFormat="1" applyFont="1" applyFill="1" applyBorder="1" applyProtection="1">
      <protection/>
    </xf>
    <xf numFmtId="164" fontId="7" fillId="3" borderId="10" xfId="0" applyNumberFormat="1" applyFont="1" applyFill="1" applyBorder="1" applyProtection="1">
      <protection/>
    </xf>
    <xf numFmtId="1" fontId="4" fillId="4" borderId="30" xfId="0" applyNumberFormat="1" applyFont="1" applyFill="1" applyBorder="1" applyAlignment="1">
      <alignment horizontal="center"/>
    </xf>
    <xf numFmtId="164" fontId="11" fillId="3" borderId="0" xfId="0" applyNumberFormat="1" applyFont="1" applyFill="1" applyProtection="1">
      <protection/>
    </xf>
    <xf numFmtId="164" fontId="11" fillId="3" borderId="0" xfId="0" applyFont="1" applyFill="1"/>
    <xf numFmtId="164" fontId="7" fillId="5" borderId="1" xfId="0" applyNumberFormat="1" applyFont="1" applyFill="1" applyBorder="1" applyAlignment="1" applyProtection="1">
      <alignment horizontal="centerContinuous"/>
      <protection/>
    </xf>
    <xf numFmtId="164" fontId="7" fillId="5" borderId="0" xfId="0" applyNumberFormat="1" applyFont="1" applyFill="1" applyBorder="1" applyAlignment="1" applyProtection="1">
      <alignment horizontal="left"/>
      <protection/>
    </xf>
    <xf numFmtId="164" fontId="7" fillId="5" borderId="27" xfId="0" applyNumberFormat="1" applyFont="1" applyFill="1" applyBorder="1" applyProtection="1">
      <protection/>
    </xf>
    <xf numFmtId="164" fontId="7" fillId="5" borderId="0" xfId="0" applyNumberFormat="1" applyFont="1" applyFill="1" applyBorder="1" applyProtection="1">
      <protection/>
    </xf>
    <xf numFmtId="164" fontId="7" fillId="5" borderId="10" xfId="0" applyNumberFormat="1" applyFont="1" applyFill="1" applyBorder="1" applyProtection="1">
      <protection/>
    </xf>
    <xf numFmtId="1" fontId="7" fillId="4" borderId="30" xfId="0" applyNumberFormat="1" applyFont="1" applyFill="1" applyBorder="1" applyAlignment="1" applyProtection="1">
      <alignment horizontal="center"/>
      <protection locked="0"/>
    </xf>
    <xf numFmtId="166" fontId="7" fillId="4" borderId="6" xfId="0" applyNumberFormat="1" applyFont="1" applyFill="1" applyBorder="1" applyAlignment="1" applyProtection="1">
      <alignment horizontal="center"/>
      <protection locked="0"/>
    </xf>
    <xf numFmtId="164" fontId="13" fillId="3" borderId="0" xfId="0" applyFont="1" applyFill="1" applyAlignment="1" applyProtection="1">
      <alignment horizontal="center"/>
      <protection locked="0"/>
    </xf>
    <xf numFmtId="164" fontId="4" fillId="4" borderId="30" xfId="0" applyFont="1" applyFill="1" applyBorder="1" applyAlignment="1" applyProtection="1">
      <alignment horizontal="center"/>
      <protection locked="0"/>
    </xf>
    <xf numFmtId="1" fontId="4" fillId="4" borderId="6" xfId="0" applyNumberFormat="1" applyFont="1" applyFill="1" applyBorder="1" applyAlignment="1" applyProtection="1">
      <alignment horizontal="center"/>
      <protection locked="0"/>
    </xf>
    <xf numFmtId="2" fontId="4" fillId="4" borderId="30" xfId="0" applyNumberFormat="1" applyFont="1" applyFill="1" applyBorder="1" applyAlignment="1" applyProtection="1">
      <alignment horizontal="center"/>
      <protection locked="0"/>
    </xf>
    <xf numFmtId="3" fontId="4" fillId="4" borderId="4" xfId="0" applyNumberFormat="1" applyFont="1" applyFill="1" applyBorder="1" applyAlignment="1" applyProtection="1">
      <alignment horizontal="center"/>
      <protection locked="0"/>
    </xf>
    <xf numFmtId="167" fontId="4" fillId="4" borderId="6" xfId="0" applyNumberFormat="1" applyFont="1" applyFill="1" applyBorder="1" applyAlignment="1" applyProtection="1">
      <alignment horizontal="center"/>
      <protection locked="0"/>
    </xf>
    <xf numFmtId="168" fontId="4" fillId="2" borderId="8" xfId="0" applyNumberFormat="1" applyFont="1" applyFill="1" applyBorder="1" applyAlignment="1">
      <alignment horizontal="center"/>
    </xf>
    <xf numFmtId="169" fontId="4" fillId="4" borderId="6" xfId="0" applyNumberFormat="1" applyFont="1" applyFill="1" applyBorder="1" applyAlignment="1" applyProtection="1">
      <alignment horizontal="center"/>
      <protection locked="0"/>
    </xf>
    <xf numFmtId="164" fontId="9" fillId="3" borderId="0" xfId="0" applyFont="1" applyFill="1" applyAlignment="1">
      <alignment horizontal="left"/>
    </xf>
    <xf numFmtId="164" fontId="2" fillId="2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32" xfId="0" applyBorder="1" applyAlignment="1">
      <alignment horizontal="center" vertical="center" wrapText="1"/>
    </xf>
    <xf numFmtId="164" fontId="7" fillId="0" borderId="33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4" fontId="6" fillId="0" borderId="9" xfId="0" applyFont="1" applyBorder="1" applyAlignment="1">
      <alignment horizontal="center" vertical="center"/>
    </xf>
    <xf numFmtId="164" fontId="6" fillId="0" borderId="16" xfId="0" applyFont="1" applyBorder="1" applyAlignment="1">
      <alignment horizontal="center" vertical="center"/>
    </xf>
    <xf numFmtId="164" fontId="6" fillId="0" borderId="2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b/>
        <i val="0"/>
        <color indexed="10"/>
        <condense val="0"/>
        <extend val="0"/>
      </font>
      <border/>
    </dxf>
    <dxf>
      <font>
        <b/>
        <i val="0"/>
        <color indexed="5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18</xdr:row>
      <xdr:rowOff>47625</xdr:rowOff>
    </xdr:from>
    <xdr:to>
      <xdr:col>9</xdr:col>
      <xdr:colOff>133350</xdr:colOff>
      <xdr:row>32</xdr:row>
      <xdr:rowOff>200025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43925" y="3609975"/>
          <a:ext cx="1581150" cy="30480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76200</xdr:colOff>
      <xdr:row>2</xdr:row>
      <xdr:rowOff>66675</xdr:rowOff>
    </xdr:from>
    <xdr:to>
      <xdr:col>10</xdr:col>
      <xdr:colOff>190500</xdr:colOff>
      <xdr:row>8</xdr:row>
      <xdr:rowOff>123825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43925" y="438150"/>
          <a:ext cx="24003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76200</xdr:colOff>
      <xdr:row>8</xdr:row>
      <xdr:rowOff>161925</xdr:rowOff>
    </xdr:from>
    <xdr:to>
      <xdr:col>10</xdr:col>
      <xdr:colOff>238125</xdr:colOff>
      <xdr:row>17</xdr:row>
      <xdr:rowOff>200025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43925" y="1590675"/>
          <a:ext cx="2447925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304800</xdr:colOff>
      <xdr:row>11</xdr:row>
      <xdr:rowOff>161925</xdr:rowOff>
    </xdr:from>
    <xdr:to>
      <xdr:col>15</xdr:col>
      <xdr:colOff>0</xdr:colOff>
      <xdr:row>17</xdr:row>
      <xdr:rowOff>190500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58525" y="2276475"/>
          <a:ext cx="35052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304800</xdr:colOff>
      <xdr:row>2</xdr:row>
      <xdr:rowOff>38100</xdr:rowOff>
    </xdr:from>
    <xdr:to>
      <xdr:col>13</xdr:col>
      <xdr:colOff>647700</xdr:colOff>
      <xdr:row>10</xdr:row>
      <xdr:rowOff>152400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58525" y="409575"/>
          <a:ext cx="262890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11</xdr:col>
      <xdr:colOff>104775</xdr:colOff>
      <xdr:row>29</xdr:row>
      <xdr:rowOff>76200</xdr:rowOff>
    </xdr:from>
    <xdr:ext cx="3400425" cy="723900"/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11620500" y="5848350"/>
          <a:ext cx="34004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300"/>
            </a:lnSpc>
            <a:defRPr sz="1000"/>
          </a:pPr>
          <a:r>
            <a:rPr lang="en-GB" sz="1200" b="1" i="0" u="none" strike="noStrike" baseline="0">
              <a:solidFill>
                <a:srgbClr val="FF0000"/>
              </a:solidFill>
              <a:latin typeface="Helv"/>
            </a:rPr>
            <a:t>Please Note:</a:t>
          </a:r>
          <a:endParaRPr lang="en-GB" sz="12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lnSpc>
              <a:spcPts val="1300"/>
            </a:lnSpc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Helv"/>
            </a:rPr>
            <a:t>This traffic calculation is only to be used as basic</a:t>
          </a:r>
        </a:p>
        <a:p>
          <a:pPr algn="l" rtl="0">
            <a:lnSpc>
              <a:spcPts val="1300"/>
            </a:lnSpc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Helv"/>
            </a:rPr>
            <a:t>guideline. Schindler can offer you a more detailed</a:t>
          </a:r>
        </a:p>
        <a:p>
          <a:pPr algn="l" rtl="0">
            <a:lnSpc>
              <a:spcPts val="1300"/>
            </a:lnSpc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Helv"/>
            </a:rPr>
            <a:t>and comprehensive anaylsis if required.</a:t>
          </a:r>
        </a:p>
      </xdr:txBody>
    </xdr:sp>
    <xdr:clientData/>
  </xdr:oneCellAnchor>
  <xdr:twoCellAnchor editAs="oneCell">
    <xdr:from>
      <xdr:col>9</xdr:col>
      <xdr:colOff>228600</xdr:colOff>
      <xdr:row>18</xdr:row>
      <xdr:rowOff>47625</xdr:rowOff>
    </xdr:from>
    <xdr:to>
      <xdr:col>10</xdr:col>
      <xdr:colOff>685800</xdr:colOff>
      <xdr:row>30</xdr:row>
      <xdr:rowOff>47625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20325" y="3609975"/>
          <a:ext cx="1219200" cy="24384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314325</xdr:colOff>
      <xdr:row>35</xdr:row>
      <xdr:rowOff>66675</xdr:rowOff>
    </xdr:from>
    <xdr:to>
      <xdr:col>1</xdr:col>
      <xdr:colOff>962025</xdr:colOff>
      <xdr:row>37</xdr:row>
      <xdr:rowOff>142875</xdr:rowOff>
    </xdr:to>
    <xdr:sp macro="[0]!AutoShape16_Click" textlink="">
      <xdr:nvSpPr>
        <xdr:cNvPr id="1040" name="AutoShape 16"/>
        <xdr:cNvSpPr>
          <a:spLocks noChangeArrowheads="1"/>
        </xdr:cNvSpPr>
      </xdr:nvSpPr>
      <xdr:spPr bwMode="auto">
        <a:xfrm>
          <a:off x="371475" y="6858000"/>
          <a:ext cx="647700" cy="476250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oneCellAnchor>
    <xdr:from>
      <xdr:col>1</xdr:col>
      <xdr:colOff>47625</xdr:colOff>
      <xdr:row>37</xdr:row>
      <xdr:rowOff>180975</xdr:rowOff>
    </xdr:from>
    <xdr:ext cx="1323975" cy="257175"/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104775" y="7372350"/>
          <a:ext cx="132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Helv"/>
            </a:rPr>
            <a:t>View Data Sheet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43</xdr:row>
      <xdr:rowOff>47625</xdr:rowOff>
    </xdr:from>
    <xdr:to>
      <xdr:col>9</xdr:col>
      <xdr:colOff>990600</xdr:colOff>
      <xdr:row>63</xdr:row>
      <xdr:rowOff>47625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8801100"/>
          <a:ext cx="11172825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609600</xdr:colOff>
      <xdr:row>24</xdr:row>
      <xdr:rowOff>152400</xdr:rowOff>
    </xdr:from>
    <xdr:to>
      <xdr:col>11</xdr:col>
      <xdr:colOff>295275</xdr:colOff>
      <xdr:row>27</xdr:row>
      <xdr:rowOff>9525</xdr:rowOff>
    </xdr:to>
    <xdr:sp macro="[0]!AutoShape2_Click" textlink="">
      <xdr:nvSpPr>
        <xdr:cNvPr id="2050" name="AutoShape 2"/>
        <xdr:cNvSpPr>
          <a:spLocks noChangeArrowheads="1"/>
        </xdr:cNvSpPr>
      </xdr:nvSpPr>
      <xdr:spPr bwMode="auto">
        <a:xfrm>
          <a:off x="11868150" y="5095875"/>
          <a:ext cx="523875" cy="457200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oneCellAnchor>
    <xdr:from>
      <xdr:col>10</xdr:col>
      <xdr:colOff>142875</xdr:colOff>
      <xdr:row>27</xdr:row>
      <xdr:rowOff>38100</xdr:rowOff>
    </xdr:from>
    <xdr:ext cx="1619250" cy="247650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11401425" y="5581650"/>
          <a:ext cx="1619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Helv"/>
            </a:rPr>
            <a:t>Return to Input Page</a:t>
          </a:r>
        </a:p>
      </xdr:txBody>
    </xdr:sp>
    <xdr:clientData/>
  </xdr:oneCellAnchor>
  <xdr:twoCellAnchor>
    <xdr:from>
      <xdr:col>10</xdr:col>
      <xdr:colOff>542925</xdr:colOff>
      <xdr:row>30</xdr:row>
      <xdr:rowOff>28575</xdr:rowOff>
    </xdr:from>
    <xdr:to>
      <xdr:col>11</xdr:col>
      <xdr:colOff>381000</xdr:colOff>
      <xdr:row>32</xdr:row>
      <xdr:rowOff>0</xdr:rowOff>
    </xdr:to>
    <xdr:sp macro="[0]!AutoShape4_Click" textlink="">
      <xdr:nvSpPr>
        <xdr:cNvPr id="2052" name="AutoShape 4"/>
        <xdr:cNvSpPr>
          <a:spLocks noChangeArrowheads="1"/>
        </xdr:cNvSpPr>
      </xdr:nvSpPr>
      <xdr:spPr bwMode="auto">
        <a:xfrm>
          <a:off x="11801475" y="6172200"/>
          <a:ext cx="676275" cy="371475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xmlns:a14="http://schemas.microsoft.com/office/drawing/2010/main" xmlns:mc="http://schemas.openxmlformats.org/markup-compatibility/2006" val="339933" mc:Ignorable="a14" a14:legacySpreadsheetColorIndex="50"/>
          </a:solidFill>
          <a:miter lim="800000"/>
          <a:headEnd type="none"/>
          <a:tailEnd type="none"/>
        </a:ln>
      </xdr:spPr>
    </xdr:sp>
    <xdr:clientData/>
  </xdr:twoCellAnchor>
  <xdr:oneCellAnchor>
    <xdr:from>
      <xdr:col>10</xdr:col>
      <xdr:colOff>200025</xdr:colOff>
      <xdr:row>32</xdr:row>
      <xdr:rowOff>9525</xdr:rowOff>
    </xdr:from>
    <xdr:ext cx="1314450" cy="257175"/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11458575" y="6553200"/>
          <a:ext cx="1314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Helv"/>
            </a:rPr>
            <a:t>Print Data Sheet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8"/>
  <sheetViews>
    <sheetView tabSelected="1" zoomScale="75" zoomScaleNormal="75" workbookViewId="0" topLeftCell="A1">
      <selection activeCell="F22" sqref="F22"/>
    </sheetView>
  </sheetViews>
  <sheetFormatPr defaultColWidth="8.88671875" defaultRowHeight="15.75"/>
  <cols>
    <col min="1" max="1" width="0.671875" style="64" customWidth="1"/>
    <col min="2" max="2" width="32.21484375" style="0" customWidth="1"/>
    <col min="3" max="3" width="38.6640625" style="3" customWidth="1"/>
    <col min="4" max="4" width="0.55078125" style="64" customWidth="1"/>
    <col min="5" max="15" width="8.88671875" style="64" customWidth="1"/>
    <col min="16" max="16" width="2.77734375" style="64" customWidth="1"/>
    <col min="17" max="32" width="8.88671875" style="64" customWidth="1"/>
  </cols>
  <sheetData>
    <row r="1" spans="2:44" ht="23.25">
      <c r="B1" s="111" t="s">
        <v>68</v>
      </c>
      <c r="C1" s="111"/>
      <c r="H1" s="83" t="s">
        <v>74</v>
      </c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</row>
    <row r="2" spans="2:44" ht="6" customHeight="1" thickBot="1">
      <c r="B2" s="65"/>
      <c r="C2" s="66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</row>
    <row r="3" spans="2:44" ht="18">
      <c r="B3" s="65" t="s">
        <v>65</v>
      </c>
      <c r="C3" s="103" t="s">
        <v>82</v>
      </c>
      <c r="H3" s="67"/>
      <c r="I3" s="68"/>
      <c r="J3" s="68"/>
      <c r="K3" s="68"/>
      <c r="L3" s="68"/>
      <c r="M3" s="68"/>
      <c r="N3" s="68"/>
      <c r="O3" s="68"/>
      <c r="P3" s="71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</row>
    <row r="4" spans="2:16" ht="18">
      <c r="B4" s="65" t="s">
        <v>64</v>
      </c>
      <c r="C4" s="63">
        <f ca="1">NOW()</f>
        <v>42780.612778703704</v>
      </c>
      <c r="E4" s="64" t="s">
        <v>83</v>
      </c>
      <c r="H4" s="69"/>
      <c r="I4" s="73"/>
      <c r="J4" s="73"/>
      <c r="K4" s="73"/>
      <c r="L4" s="73"/>
      <c r="M4" s="73"/>
      <c r="N4" s="73"/>
      <c r="O4" s="73"/>
      <c r="P4" s="72"/>
    </row>
    <row r="5" spans="2:16" ht="5.25" customHeight="1" thickBot="1">
      <c r="B5" s="65"/>
      <c r="C5" s="2"/>
      <c r="H5" s="69"/>
      <c r="I5" s="73"/>
      <c r="J5" s="73"/>
      <c r="K5" s="73"/>
      <c r="L5" s="73"/>
      <c r="M5" s="73"/>
      <c r="N5" s="73"/>
      <c r="O5" s="73"/>
      <c r="P5" s="72"/>
    </row>
    <row r="6" spans="1:16" ht="6" customHeight="1" thickBot="1">
      <c r="A6" s="67"/>
      <c r="B6" s="67"/>
      <c r="C6" s="75"/>
      <c r="D6" s="71"/>
      <c r="H6" s="69"/>
      <c r="I6" s="73"/>
      <c r="J6" s="73"/>
      <c r="K6" s="73"/>
      <c r="L6" s="73"/>
      <c r="M6" s="73"/>
      <c r="N6" s="73"/>
      <c r="O6" s="73"/>
      <c r="P6" s="72"/>
    </row>
    <row r="7" spans="1:16" ht="18" customHeight="1">
      <c r="A7" s="69"/>
      <c r="B7" s="12" t="s">
        <v>60</v>
      </c>
      <c r="C7" s="107">
        <v>3600</v>
      </c>
      <c r="D7" s="72"/>
      <c r="H7" s="69"/>
      <c r="I7" s="73"/>
      <c r="J7" s="73"/>
      <c r="K7" s="73"/>
      <c r="L7" s="73"/>
      <c r="M7" s="73"/>
      <c r="N7" s="73"/>
      <c r="O7" s="73"/>
      <c r="P7" s="72"/>
    </row>
    <row r="8" spans="1:16" ht="18" customHeight="1">
      <c r="A8" s="69"/>
      <c r="B8" s="13" t="s">
        <v>77</v>
      </c>
      <c r="C8" s="61">
        <f>C7/E8</f>
        <v>450</v>
      </c>
      <c r="D8" s="73"/>
      <c r="E8" s="104">
        <v>8</v>
      </c>
      <c r="F8" s="64" t="s">
        <v>71</v>
      </c>
      <c r="H8" s="69"/>
      <c r="I8" s="73"/>
      <c r="J8" s="73"/>
      <c r="K8" s="73"/>
      <c r="L8" s="73"/>
      <c r="M8" s="73"/>
      <c r="N8" s="73"/>
      <c r="O8" s="73"/>
      <c r="P8" s="72"/>
    </row>
    <row r="9" spans="1:16" ht="18" customHeight="1">
      <c r="A9" s="69"/>
      <c r="B9" s="13" t="s">
        <v>72</v>
      </c>
      <c r="C9" s="108">
        <v>900</v>
      </c>
      <c r="D9" s="72"/>
      <c r="H9" s="69"/>
      <c r="I9" s="73"/>
      <c r="J9" s="73"/>
      <c r="K9" s="73"/>
      <c r="L9" s="73"/>
      <c r="M9" s="73"/>
      <c r="N9" s="73"/>
      <c r="O9" s="73"/>
      <c r="P9" s="72"/>
    </row>
    <row r="10" spans="1:16" ht="18" customHeight="1">
      <c r="A10" s="69"/>
      <c r="B10" s="13" t="s">
        <v>61</v>
      </c>
      <c r="C10" s="61">
        <f>C8/E10</f>
        <v>2.25</v>
      </c>
      <c r="D10" s="73"/>
      <c r="E10" s="93">
        <v>200</v>
      </c>
      <c r="F10" s="64" t="s">
        <v>78</v>
      </c>
      <c r="H10" s="69"/>
      <c r="I10" s="73"/>
      <c r="J10" s="73"/>
      <c r="K10" s="73"/>
      <c r="L10" s="73"/>
      <c r="M10" s="73"/>
      <c r="N10" s="73"/>
      <c r="O10" s="73"/>
      <c r="P10" s="72"/>
    </row>
    <row r="11" spans="1:16" ht="18" customHeight="1">
      <c r="A11" s="69"/>
      <c r="B11" s="13" t="s">
        <v>62</v>
      </c>
      <c r="C11" s="105">
        <v>13</v>
      </c>
      <c r="D11" s="72"/>
      <c r="E11" s="80" t="s">
        <v>79</v>
      </c>
      <c r="H11" s="69"/>
      <c r="I11" s="73"/>
      <c r="J11" s="73"/>
      <c r="K11" s="73"/>
      <c r="L11" s="73"/>
      <c r="M11" s="73"/>
      <c r="N11" s="73"/>
      <c r="O11" s="73"/>
      <c r="P11" s="72"/>
    </row>
    <row r="12" spans="1:16" ht="18" customHeight="1">
      <c r="A12" s="69"/>
      <c r="B12" s="13" t="s">
        <v>63</v>
      </c>
      <c r="C12" s="105">
        <v>3</v>
      </c>
      <c r="D12" s="72"/>
      <c r="H12" s="69"/>
      <c r="I12" s="73"/>
      <c r="J12" s="73"/>
      <c r="K12" s="73"/>
      <c r="L12" s="73"/>
      <c r="M12" s="73"/>
      <c r="N12" s="73"/>
      <c r="O12" s="73"/>
      <c r="P12" s="72"/>
    </row>
    <row r="13" spans="1:16" ht="18" customHeight="1">
      <c r="A13" s="69"/>
      <c r="B13" s="13" t="s">
        <v>80</v>
      </c>
      <c r="C13" s="110">
        <v>12</v>
      </c>
      <c r="D13" s="72"/>
      <c r="H13" s="69"/>
      <c r="I13" s="73"/>
      <c r="J13" s="73"/>
      <c r="K13" s="73"/>
      <c r="L13" s="73"/>
      <c r="M13" s="73"/>
      <c r="N13" s="73"/>
      <c r="O13" s="73"/>
      <c r="P13" s="72"/>
    </row>
    <row r="14" spans="1:16" ht="18" customHeight="1" thickBot="1">
      <c r="A14" s="69"/>
      <c r="B14" s="14" t="s">
        <v>81</v>
      </c>
      <c r="C14" s="109">
        <f>E14*60</f>
        <v>60</v>
      </c>
      <c r="D14" s="73"/>
      <c r="E14" s="106">
        <v>1</v>
      </c>
      <c r="F14" s="64" t="s">
        <v>70</v>
      </c>
      <c r="H14" s="69"/>
      <c r="I14" s="73"/>
      <c r="J14" s="73"/>
      <c r="K14" s="73"/>
      <c r="L14" s="73"/>
      <c r="M14" s="73"/>
      <c r="N14" s="73"/>
      <c r="O14" s="73"/>
      <c r="P14" s="72"/>
    </row>
    <row r="15" spans="1:16" ht="6" customHeight="1" thickBot="1">
      <c r="A15" s="69"/>
      <c r="B15" s="4"/>
      <c r="C15" s="76"/>
      <c r="D15" s="72"/>
      <c r="H15" s="69"/>
      <c r="I15" s="73"/>
      <c r="J15" s="73"/>
      <c r="K15" s="73"/>
      <c r="L15" s="73"/>
      <c r="M15" s="73"/>
      <c r="N15" s="73"/>
      <c r="O15" s="73"/>
      <c r="P15" s="72"/>
    </row>
    <row r="16" spans="1:16" ht="18" customHeight="1">
      <c r="A16" s="69"/>
      <c r="B16" s="6" t="s">
        <v>15</v>
      </c>
      <c r="C16" s="7">
        <f>INDEX(Data!$C$10:$J$43,MATCH(Input!B16,Data!$B$10:$B$42,0),MATCH(Input!$C$14,Data!$C$8:$J$8,0))</f>
        <v>10.4</v>
      </c>
      <c r="D16" s="72"/>
      <c r="H16" s="69"/>
      <c r="I16" s="73"/>
      <c r="J16" s="73"/>
      <c r="K16" s="73"/>
      <c r="L16" s="73"/>
      <c r="M16" s="73"/>
      <c r="N16" s="73"/>
      <c r="O16" s="73"/>
      <c r="P16" s="72"/>
    </row>
    <row r="17" spans="1:16" ht="18" customHeight="1">
      <c r="A17" s="69"/>
      <c r="B17" s="8" t="s">
        <v>23</v>
      </c>
      <c r="C17" s="9">
        <f>INDEX(Data!$C$10:$J$43,MATCH(Input!B17,Data!$B$10:$B$42,0),MATCH(Input!$C$14,Data!$C$8:$J$8,0))</f>
        <v>12</v>
      </c>
      <c r="D17" s="72"/>
      <c r="H17" s="69"/>
      <c r="I17" s="73"/>
      <c r="J17" s="73"/>
      <c r="K17" s="73"/>
      <c r="L17" s="73"/>
      <c r="M17" s="73"/>
      <c r="N17" s="73"/>
      <c r="O17" s="73"/>
      <c r="P17" s="72"/>
    </row>
    <row r="18" spans="1:16" ht="18" customHeight="1">
      <c r="A18" s="69"/>
      <c r="B18" s="8" t="s">
        <v>27</v>
      </c>
      <c r="C18" s="9">
        <f>INDEX(Data!$C$10:$J$43,MATCH(Input!B18,Data!$B$10:$B$42,0),MATCH(Input!$C$14,Data!$C$8:$J$8,0))</f>
        <v>4.059863532599739</v>
      </c>
      <c r="D18" s="72"/>
      <c r="H18" s="69"/>
      <c r="I18" s="73"/>
      <c r="J18" s="73"/>
      <c r="K18" s="73"/>
      <c r="L18" s="73"/>
      <c r="M18" s="73"/>
      <c r="N18" s="73"/>
      <c r="O18" s="73"/>
      <c r="P18" s="72"/>
    </row>
    <row r="19" spans="1:16" ht="18" customHeight="1">
      <c r="A19" s="69"/>
      <c r="B19" s="8" t="s">
        <v>29</v>
      </c>
      <c r="C19" s="9">
        <f>INDEX(Data!$C$10:$J$43,MATCH(Input!B19,Data!$B$10:$B$42,0),MATCH(Input!$C$14,Data!$C$8:$J$8,0))</f>
        <v>6.870462167925737</v>
      </c>
      <c r="D19" s="72"/>
      <c r="H19" s="69"/>
      <c r="I19" s="73"/>
      <c r="J19" s="73"/>
      <c r="K19" s="73"/>
      <c r="L19" s="73"/>
      <c r="M19" s="73"/>
      <c r="N19" s="73"/>
      <c r="O19" s="73"/>
      <c r="P19" s="72"/>
    </row>
    <row r="20" spans="1:16" ht="18" customHeight="1">
      <c r="A20" s="69"/>
      <c r="B20" s="8" t="s">
        <v>31</v>
      </c>
      <c r="C20" s="9">
        <f>INDEX(Data!$C$10:$J$43,MATCH(Input!B20,Data!$B$10:$B$42,0),MATCH(Input!$C$14,Data!$C$8:$J$8,0))</f>
        <v>20.307467320783246</v>
      </c>
      <c r="D20" s="72"/>
      <c r="H20" s="69"/>
      <c r="I20" s="73"/>
      <c r="J20" s="73"/>
      <c r="K20" s="73"/>
      <c r="L20" s="73"/>
      <c r="M20" s="73"/>
      <c r="N20" s="73"/>
      <c r="O20" s="73"/>
      <c r="P20" s="72"/>
    </row>
    <row r="21" spans="1:16" ht="18" customHeight="1">
      <c r="A21" s="69"/>
      <c r="B21" s="8" t="s">
        <v>37</v>
      </c>
      <c r="C21" s="9">
        <f>INDEX(Data!$C$10:$J$43,MATCH(Input!B21,Data!$B$10:$B$42,0),MATCH(Input!$C$14,Data!$C$8:$J$8,0))</f>
        <v>7.093834501761658</v>
      </c>
      <c r="D21" s="72"/>
      <c r="H21" s="69"/>
      <c r="I21" s="73"/>
      <c r="J21" s="73"/>
      <c r="K21" s="73"/>
      <c r="L21" s="73"/>
      <c r="M21" s="73"/>
      <c r="N21" s="73"/>
      <c r="O21" s="73"/>
      <c r="P21" s="72"/>
    </row>
    <row r="22" spans="1:16" ht="18" customHeight="1">
      <c r="A22" s="69"/>
      <c r="B22" s="8" t="s">
        <v>39</v>
      </c>
      <c r="C22" s="9">
        <f>INDEX(Data!$C$10:$J$43,MATCH(Input!B22,Data!$B$10:$B$42,0),MATCH(Input!$C$14,Data!$C$8:$J$8,0))</f>
        <v>20.672798279487786</v>
      </c>
      <c r="D22" s="72"/>
      <c r="H22" s="69"/>
      <c r="I22" s="73"/>
      <c r="J22" s="73"/>
      <c r="K22" s="73"/>
      <c r="L22" s="73"/>
      <c r="M22" s="73"/>
      <c r="N22" s="73"/>
      <c r="O22" s="73"/>
      <c r="P22" s="72"/>
    </row>
    <row r="23" spans="1:16" ht="18" customHeight="1">
      <c r="A23" s="69"/>
      <c r="B23" s="8" t="s">
        <v>41</v>
      </c>
      <c r="C23" s="9">
        <f>INDEX(Data!$C$10:$J$43,MATCH(Input!B23,Data!$B$10:$B$42,0),MATCH(Input!$C$14,Data!$C$8:$J$8,0))</f>
        <v>2.7766632781249445</v>
      </c>
      <c r="D23" s="72"/>
      <c r="H23" s="69"/>
      <c r="I23" s="73"/>
      <c r="J23" s="73"/>
      <c r="K23" s="73"/>
      <c r="L23" s="73"/>
      <c r="M23" s="73"/>
      <c r="N23" s="73"/>
      <c r="O23" s="73"/>
      <c r="P23" s="72"/>
    </row>
    <row r="24" spans="1:16" ht="18" customHeight="1">
      <c r="A24" s="69"/>
      <c r="B24" s="8" t="s">
        <v>43</v>
      </c>
      <c r="C24" s="9">
        <f>INDEX(Data!$C$10:$J$43,MATCH(Input!B24,Data!$B$10:$B$42,0),MATCH(Input!$C$14,Data!$C$8:$J$8,0))</f>
        <v>50.85076338015763</v>
      </c>
      <c r="D24" s="72"/>
      <c r="H24" s="69"/>
      <c r="I24" s="73"/>
      <c r="J24" s="73"/>
      <c r="K24" s="73"/>
      <c r="L24" s="73"/>
      <c r="M24" s="73"/>
      <c r="N24" s="73"/>
      <c r="O24" s="73"/>
      <c r="P24" s="72"/>
    </row>
    <row r="25" spans="1:16" ht="18" customHeight="1" thickBot="1">
      <c r="A25" s="69"/>
      <c r="B25" s="10" t="s">
        <v>45</v>
      </c>
      <c r="C25" s="11">
        <f>INDEX(Data!$C$10:$J$43,MATCH(Input!B25,Data!$B$10:$B$42,0),MATCH(Input!$C$14,Data!$C$8:$J$8,0))</f>
        <v>61.35601105287337</v>
      </c>
      <c r="D25" s="72"/>
      <c r="H25" s="69"/>
      <c r="I25" s="73"/>
      <c r="J25" s="73"/>
      <c r="K25" s="73"/>
      <c r="L25" s="73"/>
      <c r="M25" s="73"/>
      <c r="N25" s="73"/>
      <c r="O25" s="73"/>
      <c r="P25" s="72"/>
    </row>
    <row r="26" spans="1:16" ht="6" customHeight="1" thickBot="1">
      <c r="A26" s="69"/>
      <c r="B26" s="77"/>
      <c r="C26" s="78"/>
      <c r="D26" s="72"/>
      <c r="H26" s="69"/>
      <c r="I26" s="73"/>
      <c r="J26" s="73"/>
      <c r="K26" s="73"/>
      <c r="L26" s="73"/>
      <c r="M26" s="73"/>
      <c r="N26" s="73"/>
      <c r="O26" s="73"/>
      <c r="P26" s="72"/>
    </row>
    <row r="27" spans="1:16" ht="18" customHeight="1">
      <c r="A27" s="69"/>
      <c r="B27" s="15" t="s">
        <v>47</v>
      </c>
      <c r="C27" s="62">
        <f>INDEX(Data!$C$10:$J$43,MATCH(Input!B27,Data!$B$10:$B$42,0),MATCH(Input!$C$14,Data!$C$8:$J$8,0))</f>
        <v>1.100136707743795</v>
      </c>
      <c r="D27" s="72"/>
      <c r="H27" s="69"/>
      <c r="I27" s="73"/>
      <c r="J27" s="73"/>
      <c r="K27" s="73"/>
      <c r="L27" s="73"/>
      <c r="M27" s="73"/>
      <c r="N27" s="73"/>
      <c r="O27" s="73"/>
      <c r="P27" s="72"/>
    </row>
    <row r="28" spans="1:16" ht="18" customHeight="1" thickBot="1">
      <c r="A28" s="69"/>
      <c r="B28" s="16" t="s">
        <v>49</v>
      </c>
      <c r="C28" s="17">
        <f>INDEX(Data!$C$10:$J$43,MATCH(Input!B28,Data!$B$10:$B$42,0),MATCH(Input!$C$14,Data!$C$8:$J$8,0))</f>
        <v>2.25</v>
      </c>
      <c r="D28" s="72"/>
      <c r="H28" s="69"/>
      <c r="I28" s="73"/>
      <c r="J28" s="73"/>
      <c r="K28" s="73"/>
      <c r="L28" s="73"/>
      <c r="M28" s="73"/>
      <c r="N28" s="73"/>
      <c r="O28" s="73"/>
      <c r="P28" s="72"/>
    </row>
    <row r="29" spans="1:16" ht="6" customHeight="1" thickBot="1">
      <c r="A29" s="69"/>
      <c r="B29" s="77"/>
      <c r="C29" s="78"/>
      <c r="D29" s="72"/>
      <c r="H29" s="69"/>
      <c r="I29" s="73"/>
      <c r="J29" s="73"/>
      <c r="K29" s="73"/>
      <c r="L29" s="73"/>
      <c r="M29" s="73"/>
      <c r="N29" s="73"/>
      <c r="O29" s="73"/>
      <c r="P29" s="72"/>
    </row>
    <row r="30" spans="1:16" ht="18" customHeight="1">
      <c r="A30" s="69"/>
      <c r="B30" s="6" t="s">
        <v>51</v>
      </c>
      <c r="C30" s="7">
        <f>INDEX(Data!$C$10:$J$43,MATCH(Input!B30,Data!$B$10:$B$42,0),MATCH(Input!$C$14,Data!$C$8:$J$8,0))</f>
        <v>22.60033928007006</v>
      </c>
      <c r="D30" s="72"/>
      <c r="H30" s="69"/>
      <c r="I30" s="73"/>
      <c r="J30" s="73"/>
      <c r="K30" s="73"/>
      <c r="L30" s="73"/>
      <c r="M30" s="73"/>
      <c r="N30" s="73"/>
      <c r="O30" s="73"/>
      <c r="P30" s="72"/>
    </row>
    <row r="31" spans="1:16" ht="18" customHeight="1">
      <c r="A31" s="69"/>
      <c r="B31" s="8" t="s">
        <v>54</v>
      </c>
      <c r="C31" s="9">
        <f>INDEX(Data!$C$10:$J$43,MATCH(Input!B31,Data!$B$10:$B$42,0),MATCH(Input!$C$14,Data!$C$8:$J$8,0))</f>
        <v>12.430186604038534</v>
      </c>
      <c r="D31" s="72"/>
      <c r="H31" s="69"/>
      <c r="I31" s="73"/>
      <c r="J31" s="73"/>
      <c r="K31" s="73"/>
      <c r="L31" s="73"/>
      <c r="M31" s="73"/>
      <c r="N31" s="73"/>
      <c r="O31" s="73"/>
      <c r="P31" s="72"/>
    </row>
    <row r="32" spans="1:16" ht="18" customHeight="1">
      <c r="A32" s="69"/>
      <c r="B32" s="112" t="s">
        <v>56</v>
      </c>
      <c r="C32" s="9">
        <f>INDEX(Data!$C$10:$J$43,MATCH(Input!B32,Data!$B$10:$B$42,0),MATCH(Input!$C$14,Data!$C$8:$J$8,0))</f>
        <v>30.67800552643668</v>
      </c>
      <c r="D32" s="72"/>
      <c r="H32" s="69"/>
      <c r="I32" s="73"/>
      <c r="J32" s="73"/>
      <c r="K32" s="73"/>
      <c r="L32" s="73"/>
      <c r="M32" s="73"/>
      <c r="N32" s="73"/>
      <c r="O32" s="73"/>
      <c r="P32" s="72"/>
    </row>
    <row r="33" spans="1:16" ht="18" customHeight="1" thickBot="1">
      <c r="A33" s="69"/>
      <c r="B33" s="113"/>
      <c r="C33" s="17" t="str">
        <f>IF(C32&gt;=15,"Good","Poor")</f>
        <v>Good</v>
      </c>
      <c r="D33" s="72"/>
      <c r="H33" s="69"/>
      <c r="I33" s="73"/>
      <c r="J33" s="73"/>
      <c r="K33" s="73"/>
      <c r="L33" s="73"/>
      <c r="M33" s="73"/>
      <c r="N33" s="73"/>
      <c r="O33" s="73"/>
      <c r="P33" s="72"/>
    </row>
    <row r="34" spans="1:16" ht="3.75" customHeight="1" thickBot="1">
      <c r="A34" s="70"/>
      <c r="B34" s="5"/>
      <c r="C34" s="79"/>
      <c r="D34" s="74"/>
      <c r="H34" s="69"/>
      <c r="I34" s="73"/>
      <c r="J34" s="73"/>
      <c r="K34" s="73"/>
      <c r="L34" s="73"/>
      <c r="M34" s="73"/>
      <c r="N34" s="73"/>
      <c r="O34" s="73"/>
      <c r="P34" s="72"/>
    </row>
    <row r="35" spans="2:31" ht="4.5" customHeight="1" thickBot="1">
      <c r="B35" s="64"/>
      <c r="C35" s="66"/>
      <c r="H35" s="70"/>
      <c r="I35" s="82"/>
      <c r="J35" s="82"/>
      <c r="K35" s="82"/>
      <c r="L35" s="82"/>
      <c r="M35" s="82"/>
      <c r="N35" s="82"/>
      <c r="O35" s="82"/>
      <c r="P35" s="74"/>
      <c r="AE35" s="64" t="s">
        <v>73</v>
      </c>
    </row>
    <row r="36" spans="2:31" ht="15.75">
      <c r="B36" s="64"/>
      <c r="C36" s="66"/>
      <c r="AE36" s="81">
        <v>320</v>
      </c>
    </row>
    <row r="37" spans="2:31" ht="15.75">
      <c r="B37" s="64"/>
      <c r="C37" s="66"/>
      <c r="AE37" s="81">
        <v>400</v>
      </c>
    </row>
    <row r="38" spans="2:31" ht="15.75">
      <c r="B38" s="64"/>
      <c r="C38" s="66"/>
      <c r="AE38" s="81">
        <v>450</v>
      </c>
    </row>
    <row r="39" spans="2:31" ht="15.75">
      <c r="B39" s="64"/>
      <c r="C39" s="66"/>
      <c r="AE39" s="81">
        <v>550</v>
      </c>
    </row>
    <row r="40" spans="2:31" ht="15.75">
      <c r="B40" s="64"/>
      <c r="C40" s="66"/>
      <c r="AE40" s="81">
        <v>630</v>
      </c>
    </row>
    <row r="41" spans="2:31" ht="15.75">
      <c r="B41" s="64"/>
      <c r="C41" s="66"/>
      <c r="AE41" s="81">
        <v>800</v>
      </c>
    </row>
    <row r="42" spans="2:31" ht="15.75">
      <c r="B42" s="64"/>
      <c r="C42" s="66"/>
      <c r="AE42" s="81">
        <v>900</v>
      </c>
    </row>
    <row r="43" spans="2:31" ht="15.75">
      <c r="B43" s="64"/>
      <c r="C43" s="66"/>
      <c r="AE43" s="81">
        <v>1000</v>
      </c>
    </row>
    <row r="44" spans="2:31" ht="15.75">
      <c r="B44" s="64"/>
      <c r="C44" s="66"/>
      <c r="AE44" s="81">
        <v>1150</v>
      </c>
    </row>
    <row r="45" spans="2:31" ht="15.75">
      <c r="B45" s="64"/>
      <c r="C45" s="66"/>
      <c r="AE45" s="81">
        <v>1250</v>
      </c>
    </row>
    <row r="46" spans="2:31" ht="15.75">
      <c r="B46" s="64"/>
      <c r="C46" s="66"/>
      <c r="AE46" s="81">
        <v>1350</v>
      </c>
    </row>
    <row r="47" spans="2:31" ht="15.75">
      <c r="B47" s="64"/>
      <c r="C47" s="66"/>
      <c r="AE47" s="81">
        <v>1600</v>
      </c>
    </row>
    <row r="48" spans="2:31" ht="15.75">
      <c r="B48" s="64"/>
      <c r="C48" s="66"/>
      <c r="AE48" s="81">
        <v>2000</v>
      </c>
    </row>
    <row r="49" spans="3:31" ht="15.75">
      <c r="C49" s="66"/>
      <c r="AE49" s="81">
        <v>2500</v>
      </c>
    </row>
    <row r="50" spans="3:31" ht="15.75">
      <c r="C50" s="66"/>
      <c r="AE50" s="81">
        <v>3000</v>
      </c>
    </row>
    <row r="51" spans="3:31" ht="15.75">
      <c r="C51" s="66"/>
      <c r="AE51" s="81">
        <v>3500</v>
      </c>
    </row>
    <row r="52" ht="15.75">
      <c r="C52" s="66"/>
    </row>
    <row r="53" ht="15.75">
      <c r="C53" s="66"/>
    </row>
    <row r="54" ht="15.75">
      <c r="C54" s="66"/>
    </row>
    <row r="55" ht="15.75">
      <c r="C55" s="66"/>
    </row>
    <row r="56" ht="15.75">
      <c r="C56" s="66"/>
    </row>
    <row r="57" ht="15.75">
      <c r="C57" s="66"/>
    </row>
    <row r="58" ht="15.75">
      <c r="C58" s="66"/>
    </row>
    <row r="59" ht="15.75">
      <c r="C59" s="66"/>
    </row>
    <row r="60" ht="15.75">
      <c r="C60" s="66"/>
    </row>
    <row r="61" ht="15.75">
      <c r="C61" s="66"/>
    </row>
    <row r="62" ht="15.75">
      <c r="C62" s="66"/>
    </row>
    <row r="63" ht="15.75">
      <c r="C63" s="66"/>
    </row>
    <row r="64" ht="15.75">
      <c r="C64" s="66"/>
    </row>
    <row r="65" ht="15.75">
      <c r="C65" s="66"/>
    </row>
    <row r="66" ht="15.75">
      <c r="C66" s="66"/>
    </row>
    <row r="67" ht="15.75">
      <c r="C67" s="66"/>
    </row>
    <row r="68" ht="15.75">
      <c r="C68" s="66"/>
    </row>
    <row r="69" ht="15.75">
      <c r="C69" s="66"/>
    </row>
    <row r="70" ht="15.75">
      <c r="C70" s="66"/>
    </row>
    <row r="71" ht="15.75">
      <c r="C71" s="66"/>
    </row>
    <row r="72" ht="15.75">
      <c r="C72" s="66"/>
    </row>
    <row r="73" ht="15.75">
      <c r="C73" s="66"/>
    </row>
    <row r="74" ht="15.75">
      <c r="C74" s="66"/>
    </row>
    <row r="75" ht="15.75">
      <c r="C75" s="66"/>
    </row>
    <row r="76" ht="15.75">
      <c r="C76" s="66"/>
    </row>
    <row r="77" ht="15.75">
      <c r="C77" s="66"/>
    </row>
    <row r="78" ht="15.75">
      <c r="C78" s="66"/>
    </row>
    <row r="79" ht="15.75">
      <c r="C79" s="66"/>
    </row>
    <row r="80" ht="15.75">
      <c r="C80" s="66"/>
    </row>
    <row r="81" ht="15.75">
      <c r="C81" s="66"/>
    </row>
    <row r="82" ht="15.75">
      <c r="C82" s="66"/>
    </row>
    <row r="83" ht="15.75">
      <c r="C83" s="66"/>
    </row>
    <row r="84" ht="15.75">
      <c r="C84" s="66"/>
    </row>
    <row r="85" ht="15.75">
      <c r="C85" s="66"/>
    </row>
    <row r="86" ht="15.75">
      <c r="C86" s="66"/>
    </row>
    <row r="87" ht="15.75">
      <c r="C87" s="66"/>
    </row>
    <row r="88" ht="15.75">
      <c r="C88" s="66"/>
    </row>
    <row r="89" ht="15.75">
      <c r="C89" s="66"/>
    </row>
    <row r="90" ht="15.75">
      <c r="C90" s="66"/>
    </row>
    <row r="91" ht="15.75">
      <c r="C91" s="66"/>
    </row>
    <row r="92" ht="15.75">
      <c r="C92" s="66"/>
    </row>
    <row r="93" ht="15.75">
      <c r="C93" s="66"/>
    </row>
    <row r="94" ht="15.75">
      <c r="C94" s="66"/>
    </row>
    <row r="95" ht="15.75">
      <c r="C95" s="66"/>
    </row>
    <row r="96" ht="15.75">
      <c r="C96" s="66"/>
    </row>
    <row r="97" ht="15.75">
      <c r="C97" s="66"/>
    </row>
    <row r="98" ht="15.75">
      <c r="C98" s="66"/>
    </row>
    <row r="99" ht="15.75">
      <c r="C99" s="66"/>
    </row>
    <row r="100" ht="15.75">
      <c r="C100" s="66"/>
    </row>
    <row r="101" ht="15.75">
      <c r="C101" s="66"/>
    </row>
    <row r="102" ht="15.75">
      <c r="C102" s="66"/>
    </row>
    <row r="103" ht="15.75">
      <c r="C103" s="66"/>
    </row>
    <row r="104" ht="15.75">
      <c r="C104" s="66"/>
    </row>
    <row r="105" ht="15.75">
      <c r="C105" s="66"/>
    </row>
    <row r="106" ht="15.75">
      <c r="C106" s="66"/>
    </row>
    <row r="107" ht="15.75">
      <c r="C107" s="66"/>
    </row>
    <row r="108" ht="15.75">
      <c r="C108" s="66"/>
    </row>
    <row r="109" ht="15.75">
      <c r="C109" s="66"/>
    </row>
    <row r="110" ht="15.75">
      <c r="C110" s="66"/>
    </row>
    <row r="111" ht="15.75">
      <c r="C111" s="66"/>
    </row>
    <row r="112" ht="15.75">
      <c r="C112" s="66"/>
    </row>
    <row r="113" ht="15.75">
      <c r="C113" s="66"/>
    </row>
    <row r="114" ht="15.75">
      <c r="C114" s="66"/>
    </row>
    <row r="115" ht="15.75">
      <c r="C115" s="66"/>
    </row>
    <row r="116" ht="15.75">
      <c r="C116" s="66"/>
    </row>
    <row r="117" ht="15.75">
      <c r="C117" s="66"/>
    </row>
    <row r="118" ht="15.75">
      <c r="C118" s="66"/>
    </row>
    <row r="119" ht="15.75">
      <c r="C119" s="66"/>
    </row>
    <row r="120" ht="15.75">
      <c r="C120" s="66"/>
    </row>
    <row r="121" ht="15.75">
      <c r="C121" s="66"/>
    </row>
    <row r="122" ht="15.75">
      <c r="C122" s="66"/>
    </row>
    <row r="123" ht="15.75">
      <c r="C123" s="66"/>
    </row>
    <row r="124" ht="15.75">
      <c r="C124" s="66"/>
    </row>
    <row r="125" ht="15.75">
      <c r="C125" s="66"/>
    </row>
    <row r="126" ht="15.75">
      <c r="C126" s="66"/>
    </row>
    <row r="127" ht="15.75">
      <c r="C127" s="66"/>
    </row>
    <row r="128" ht="15.75">
      <c r="C128" s="66"/>
    </row>
    <row r="129" ht="15.75">
      <c r="C129" s="66"/>
    </row>
    <row r="130" ht="15.75">
      <c r="C130" s="66"/>
    </row>
    <row r="131" ht="15.75">
      <c r="C131" s="66"/>
    </row>
    <row r="132" ht="15.75">
      <c r="C132" s="66"/>
    </row>
    <row r="133" ht="15.75">
      <c r="C133" s="66"/>
    </row>
    <row r="134" ht="15.75">
      <c r="C134" s="66"/>
    </row>
    <row r="135" ht="15.75">
      <c r="C135" s="66"/>
    </row>
    <row r="136" ht="15.75">
      <c r="C136" s="66"/>
    </row>
    <row r="137" ht="15.75">
      <c r="C137" s="66"/>
    </row>
    <row r="138" ht="15.75">
      <c r="C138" s="66"/>
    </row>
  </sheetData>
  <mergeCells count="2">
    <mergeCell ref="B1:C1"/>
    <mergeCell ref="B32:B33"/>
  </mergeCells>
  <conditionalFormatting sqref="C27">
    <cfRule type="cellIs" priority="1" dxfId="2" operator="greaterThan" stopIfTrue="1">
      <formula>$C$28</formula>
    </cfRule>
  </conditionalFormatting>
  <conditionalFormatting sqref="C33">
    <cfRule type="cellIs" priority="3" dxfId="1" operator="equal" stopIfTrue="1">
      <formula>"Good"</formula>
    </cfRule>
    <cfRule type="cellIs" priority="4" dxfId="0" operator="equal" stopIfTrue="1">
      <formula>"Poor"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J63"/>
  <sheetViews>
    <sheetView showGridLines="0" zoomScale="75" zoomScaleNormal="75" workbookViewId="0" topLeftCell="A31">
      <selection activeCell="C4" sqref="C4"/>
    </sheetView>
  </sheetViews>
  <sheetFormatPr defaultColWidth="9.77734375" defaultRowHeight="15.75"/>
  <cols>
    <col min="1" max="1" width="10.77734375" style="1" customWidth="1"/>
    <col min="2" max="2" width="32.77734375" style="1" customWidth="1"/>
    <col min="3" max="3" width="12.77734375" style="1" customWidth="1"/>
    <col min="4" max="4" width="13.21484375" style="1" customWidth="1"/>
    <col min="5" max="8" width="9.77734375" style="1" customWidth="1"/>
    <col min="9" max="9" width="10.6640625" style="1" customWidth="1"/>
    <col min="10" max="10" width="11.99609375" style="1" customWidth="1"/>
    <col min="11" max="13" width="9.77734375" style="1" customWidth="1"/>
    <col min="14" max="14" width="11.21484375" style="1" customWidth="1"/>
    <col min="15" max="16384" width="9.77734375" style="1" customWidth="1"/>
  </cols>
  <sheetData>
    <row r="1" spans="1:10" ht="36.75" customHeight="1" thickBot="1">
      <c r="A1" s="116" t="s">
        <v>67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0" ht="15.75">
      <c r="A2" s="19" t="s">
        <v>0</v>
      </c>
      <c r="B2" s="114" t="str">
        <f>Input!C3</f>
        <v>&lt;Enter Project Name&gt;</v>
      </c>
      <c r="C2" s="115"/>
      <c r="D2" s="20"/>
      <c r="E2" s="20"/>
      <c r="F2" s="20"/>
      <c r="G2" s="20"/>
      <c r="H2" s="21"/>
      <c r="I2" s="22"/>
      <c r="J2" s="23"/>
    </row>
    <row r="3" spans="1:10" ht="16.5" thickBot="1">
      <c r="A3" s="24" t="s">
        <v>1</v>
      </c>
      <c r="B3" s="25"/>
      <c r="C3" s="26">
        <f>Input!C7</f>
        <v>3600</v>
      </c>
      <c r="D3" s="27"/>
      <c r="E3" s="20"/>
      <c r="F3" s="20"/>
      <c r="G3" s="20"/>
      <c r="H3" s="20"/>
      <c r="I3" s="20"/>
      <c r="J3" s="23"/>
    </row>
    <row r="4" spans="1:10" ht="15.75">
      <c r="A4" s="24" t="s">
        <v>2</v>
      </c>
      <c r="B4" s="25"/>
      <c r="C4" s="28">
        <f>Input!C8</f>
        <v>450</v>
      </c>
      <c r="D4" s="29" t="s">
        <v>3</v>
      </c>
      <c r="E4" s="30"/>
      <c r="F4" s="30"/>
      <c r="G4" s="31"/>
      <c r="H4" s="30"/>
      <c r="I4" s="30"/>
      <c r="J4" s="32">
        <f>Input!E8</f>
        <v>8</v>
      </c>
    </row>
    <row r="5" spans="1:10" ht="15.75">
      <c r="A5" s="24" t="s">
        <v>4</v>
      </c>
      <c r="B5" s="25"/>
      <c r="C5" s="28">
        <f>C4*0.15</f>
        <v>67.5</v>
      </c>
      <c r="D5" s="24" t="s">
        <v>66</v>
      </c>
      <c r="E5" s="33"/>
      <c r="F5" s="34"/>
      <c r="G5" s="84">
        <f>Input!C12</f>
        <v>3</v>
      </c>
      <c r="H5" s="35" t="s">
        <v>75</v>
      </c>
      <c r="I5" s="25"/>
      <c r="J5" s="36">
        <f>Input!C13</f>
        <v>12</v>
      </c>
    </row>
    <row r="6" spans="1:10" ht="15.75">
      <c r="A6" s="24" t="s">
        <v>5</v>
      </c>
      <c r="B6" s="25"/>
      <c r="C6" s="28">
        <f>Input!C9</f>
        <v>900</v>
      </c>
      <c r="D6" s="24" t="s">
        <v>76</v>
      </c>
      <c r="E6" s="101">
        <v>0</v>
      </c>
      <c r="F6" s="25"/>
      <c r="G6" s="37"/>
      <c r="H6" s="35" t="s">
        <v>59</v>
      </c>
      <c r="I6" s="25"/>
      <c r="J6" s="102">
        <v>0</v>
      </c>
    </row>
    <row r="7" spans="1:10" ht="15.75">
      <c r="A7" s="38" t="s">
        <v>6</v>
      </c>
      <c r="B7" s="25"/>
      <c r="C7" s="28">
        <f>Input!C10</f>
        <v>2.25</v>
      </c>
      <c r="D7" s="24" t="s">
        <v>7</v>
      </c>
      <c r="E7" s="84">
        <f>Input!C11</f>
        <v>13</v>
      </c>
      <c r="F7" s="25"/>
      <c r="G7" s="37"/>
      <c r="H7" s="35" t="s">
        <v>8</v>
      </c>
      <c r="I7" s="25"/>
      <c r="J7" s="39">
        <f ca="1">Input!C4</f>
        <v>42780.612778703704</v>
      </c>
    </row>
    <row r="8" spans="1:10" ht="16.5" thickBot="1">
      <c r="A8" s="40" t="s">
        <v>69</v>
      </c>
      <c r="B8" s="41"/>
      <c r="C8" s="60">
        <f>Input!C14</f>
        <v>60</v>
      </c>
      <c r="D8" s="42">
        <v>90</v>
      </c>
      <c r="E8" s="43">
        <v>105</v>
      </c>
      <c r="F8" s="43">
        <v>120</v>
      </c>
      <c r="G8" s="43">
        <v>150</v>
      </c>
      <c r="H8" s="43">
        <v>180</v>
      </c>
      <c r="I8" s="43">
        <v>210</v>
      </c>
      <c r="J8" s="44">
        <v>240</v>
      </c>
    </row>
    <row r="9" spans="1:10" s="18" customFormat="1" ht="4.5" customHeight="1" thickBot="1">
      <c r="A9" s="21"/>
      <c r="B9" s="20"/>
      <c r="C9" s="45"/>
      <c r="D9" s="45"/>
      <c r="E9" s="45"/>
      <c r="F9" s="45"/>
      <c r="G9" s="45"/>
      <c r="H9" s="45"/>
      <c r="I9" s="45"/>
      <c r="J9" s="45"/>
    </row>
    <row r="10" spans="1:10" ht="15.75">
      <c r="A10" s="46" t="s">
        <v>9</v>
      </c>
      <c r="B10" s="47" t="s">
        <v>10</v>
      </c>
      <c r="C10" s="48">
        <f>E7</f>
        <v>13</v>
      </c>
      <c r="D10" s="49">
        <f>E7</f>
        <v>13</v>
      </c>
      <c r="E10" s="48">
        <f>E7</f>
        <v>13</v>
      </c>
      <c r="F10" s="49">
        <f>E7</f>
        <v>13</v>
      </c>
      <c r="G10" s="85">
        <f>E7</f>
        <v>13</v>
      </c>
      <c r="H10" s="49">
        <f>E7</f>
        <v>13</v>
      </c>
      <c r="I10" s="48">
        <f>E7</f>
        <v>13</v>
      </c>
      <c r="J10" s="50">
        <f>E7</f>
        <v>13</v>
      </c>
    </row>
    <row r="11" spans="1:10" ht="15.75">
      <c r="A11" s="51" t="s">
        <v>11</v>
      </c>
      <c r="B11" s="21" t="s">
        <v>12</v>
      </c>
      <c r="C11" s="52">
        <v>1</v>
      </c>
      <c r="D11" s="53">
        <v>1.5</v>
      </c>
      <c r="E11" s="52">
        <v>1.75</v>
      </c>
      <c r="F11" s="53">
        <v>2</v>
      </c>
      <c r="G11" s="86">
        <v>2.5</v>
      </c>
      <c r="H11" s="53">
        <v>3</v>
      </c>
      <c r="I11" s="52">
        <v>3.5</v>
      </c>
      <c r="J11" s="54">
        <v>4</v>
      </c>
    </row>
    <row r="12" spans="1:10" ht="15.75">
      <c r="A12" s="51" t="s">
        <v>13</v>
      </c>
      <c r="B12" s="21" t="s">
        <v>14</v>
      </c>
      <c r="C12" s="52">
        <f>G5</f>
        <v>3</v>
      </c>
      <c r="D12" s="53">
        <f>G5</f>
        <v>3</v>
      </c>
      <c r="E12" s="52">
        <f>G5</f>
        <v>3</v>
      </c>
      <c r="F12" s="53">
        <f>G5</f>
        <v>3</v>
      </c>
      <c r="G12" s="86">
        <f>G5</f>
        <v>3</v>
      </c>
      <c r="H12" s="53">
        <f>G5</f>
        <v>3</v>
      </c>
      <c r="I12" s="52">
        <f>G5</f>
        <v>3</v>
      </c>
      <c r="J12" s="54">
        <f>G5</f>
        <v>3</v>
      </c>
    </row>
    <row r="13" spans="1:10" ht="15.75">
      <c r="A13" s="51" t="s">
        <v>9</v>
      </c>
      <c r="B13" s="21" t="s">
        <v>15</v>
      </c>
      <c r="C13" s="52">
        <f aca="true" t="shared" si="0" ref="C13:J13">C10*0.8</f>
        <v>10.4</v>
      </c>
      <c r="D13" s="53">
        <f t="shared" si="0"/>
        <v>10.4</v>
      </c>
      <c r="E13" s="52">
        <f t="shared" si="0"/>
        <v>10.4</v>
      </c>
      <c r="F13" s="53">
        <f t="shared" si="0"/>
        <v>10.4</v>
      </c>
      <c r="G13" s="86">
        <f t="shared" si="0"/>
        <v>10.4</v>
      </c>
      <c r="H13" s="53">
        <f t="shared" si="0"/>
        <v>10.4</v>
      </c>
      <c r="I13" s="52">
        <f t="shared" si="0"/>
        <v>10.4</v>
      </c>
      <c r="J13" s="54">
        <f t="shared" si="0"/>
        <v>10.4</v>
      </c>
    </row>
    <row r="14" spans="1:10" ht="15.75">
      <c r="A14" s="51" t="s">
        <v>16</v>
      </c>
      <c r="B14" s="21" t="s">
        <v>17</v>
      </c>
      <c r="C14" s="52">
        <f aca="true" t="shared" si="1" ref="C14:J14">C12*(1-(((C12-1)/C12)^C13))</f>
        <v>2.955764375734024</v>
      </c>
      <c r="D14" s="53">
        <f t="shared" si="1"/>
        <v>2.955764375734024</v>
      </c>
      <c r="E14" s="52">
        <f t="shared" si="1"/>
        <v>2.955764375734024</v>
      </c>
      <c r="F14" s="53">
        <f t="shared" si="1"/>
        <v>2.955764375734024</v>
      </c>
      <c r="G14" s="86">
        <f t="shared" si="1"/>
        <v>2.955764375734024</v>
      </c>
      <c r="H14" s="53">
        <f t="shared" si="1"/>
        <v>2.955764375734024</v>
      </c>
      <c r="I14" s="52">
        <f t="shared" si="1"/>
        <v>2.955764375734024</v>
      </c>
      <c r="J14" s="54">
        <f t="shared" si="1"/>
        <v>2.955764375734024</v>
      </c>
    </row>
    <row r="15" spans="1:10" ht="15.75">
      <c r="A15" s="51" t="s">
        <v>18</v>
      </c>
      <c r="B15" s="21" t="s">
        <v>19</v>
      </c>
      <c r="C15" s="52">
        <f>E6</f>
        <v>0</v>
      </c>
      <c r="D15" s="53">
        <f>E6</f>
        <v>0</v>
      </c>
      <c r="E15" s="52">
        <f>E6</f>
        <v>0</v>
      </c>
      <c r="F15" s="53">
        <f>E6</f>
        <v>0</v>
      </c>
      <c r="G15" s="86">
        <f>E6</f>
        <v>0</v>
      </c>
      <c r="H15" s="53">
        <f>E6</f>
        <v>0</v>
      </c>
      <c r="I15" s="52">
        <f>E6</f>
        <v>0</v>
      </c>
      <c r="J15" s="54">
        <f>E6</f>
        <v>0</v>
      </c>
    </row>
    <row r="16" spans="1:10" ht="15.75">
      <c r="A16" s="51" t="s">
        <v>20</v>
      </c>
      <c r="B16" s="21" t="s">
        <v>21</v>
      </c>
      <c r="C16" s="52">
        <f aca="true" t="shared" si="2" ref="C16:J16">C15+C14</f>
        <v>2.955764375734024</v>
      </c>
      <c r="D16" s="53">
        <f t="shared" si="2"/>
        <v>2.955764375734024</v>
      </c>
      <c r="E16" s="52">
        <f t="shared" si="2"/>
        <v>2.955764375734024</v>
      </c>
      <c r="F16" s="53">
        <f t="shared" si="2"/>
        <v>2.955764375734024</v>
      </c>
      <c r="G16" s="86">
        <f t="shared" si="2"/>
        <v>2.955764375734024</v>
      </c>
      <c r="H16" s="53">
        <f t="shared" si="2"/>
        <v>2.955764375734024</v>
      </c>
      <c r="I16" s="52">
        <f t="shared" si="2"/>
        <v>2.955764375734024</v>
      </c>
      <c r="J16" s="54">
        <f t="shared" si="2"/>
        <v>2.955764375734024</v>
      </c>
    </row>
    <row r="17" spans="1:10" ht="15.75">
      <c r="A17" s="51" t="s">
        <v>22</v>
      </c>
      <c r="B17" s="21" t="s">
        <v>23</v>
      </c>
      <c r="C17" s="52">
        <f>J5</f>
        <v>12</v>
      </c>
      <c r="D17" s="53">
        <f>J5</f>
        <v>12</v>
      </c>
      <c r="E17" s="52">
        <f>J5</f>
        <v>12</v>
      </c>
      <c r="F17" s="53">
        <f>J5</f>
        <v>12</v>
      </c>
      <c r="G17" s="86">
        <f>J5</f>
        <v>12</v>
      </c>
      <c r="H17" s="53">
        <f>J5</f>
        <v>12</v>
      </c>
      <c r="I17" s="52">
        <f>J5</f>
        <v>12</v>
      </c>
      <c r="J17" s="54">
        <f>J5</f>
        <v>12</v>
      </c>
    </row>
    <row r="18" spans="1:10" ht="15.75">
      <c r="A18" s="51" t="s">
        <v>24</v>
      </c>
      <c r="B18" s="21" t="s">
        <v>25</v>
      </c>
      <c r="C18" s="52">
        <f>J6</f>
        <v>0</v>
      </c>
      <c r="D18" s="53">
        <f>J6</f>
        <v>0</v>
      </c>
      <c r="E18" s="52">
        <f>J6</f>
        <v>0</v>
      </c>
      <c r="F18" s="53">
        <f>J6</f>
        <v>0</v>
      </c>
      <c r="G18" s="86">
        <f>J6</f>
        <v>0</v>
      </c>
      <c r="H18" s="53">
        <f>J6</f>
        <v>0</v>
      </c>
      <c r="I18" s="52">
        <f>J6</f>
        <v>0</v>
      </c>
      <c r="J18" s="54">
        <f>J6</f>
        <v>0</v>
      </c>
    </row>
    <row r="19" spans="1:10" ht="15.75">
      <c r="A19" s="51" t="s">
        <v>26</v>
      </c>
      <c r="B19" s="21" t="s">
        <v>27</v>
      </c>
      <c r="C19" s="52">
        <f aca="true" t="shared" si="3" ref="C19:J19">(C17/C14)</f>
        <v>4.059863532599739</v>
      </c>
      <c r="D19" s="53">
        <f t="shared" si="3"/>
        <v>4.059863532599739</v>
      </c>
      <c r="E19" s="52">
        <f t="shared" si="3"/>
        <v>4.059863532599739</v>
      </c>
      <c r="F19" s="53">
        <f t="shared" si="3"/>
        <v>4.059863532599739</v>
      </c>
      <c r="G19" s="86">
        <f t="shared" si="3"/>
        <v>4.059863532599739</v>
      </c>
      <c r="H19" s="53">
        <f t="shared" si="3"/>
        <v>4.059863532599739</v>
      </c>
      <c r="I19" s="52">
        <f t="shared" si="3"/>
        <v>4.059863532599739</v>
      </c>
      <c r="J19" s="54">
        <f t="shared" si="3"/>
        <v>4.059863532599739</v>
      </c>
    </row>
    <row r="20" spans="1:10" ht="15.75">
      <c r="A20" s="51" t="s">
        <v>28</v>
      </c>
      <c r="B20" s="21" t="s">
        <v>29</v>
      </c>
      <c r="C20" s="52">
        <f>(1.01*C19)+2.77</f>
        <v>6.870462167925737</v>
      </c>
      <c r="D20" s="53">
        <f>(0.655*D19)+3.575</f>
        <v>6.234210613852829</v>
      </c>
      <c r="E20" s="52">
        <f>(0.564*C19)+3.826</f>
        <v>6.115763032386253</v>
      </c>
      <c r="F20" s="53">
        <f>IF(C19&lt;=5.75,0.874+SQRT(0.76+(4.5*C19)),3.09+(C19/2))</f>
        <v>5.236268434736545</v>
      </c>
      <c r="G20" s="86">
        <f>IF(C19&lt;=9.1,0.874+SQRT(0.76+(4.5*C19)),3.65+(C19/2.5))</f>
        <v>5.236268434736545</v>
      </c>
      <c r="H20" s="53">
        <f>IF(C19&lt;=12.6,0.874+SQRT(0.76+(4.5*C19)),4.2+(C19/3))</f>
        <v>5.236268434736545</v>
      </c>
      <c r="I20" s="52">
        <f>IF(C19&lt;=16.7,0.874+SQRT(0.76+(4.5*C19)),4.76+(C19/3.5))</f>
        <v>5.236268434736545</v>
      </c>
      <c r="J20" s="54">
        <f>IF(C19&lt;=21.3,0.874+SQRT(0.76+(4.5*C19)),5.32+(C19/4))</f>
        <v>5.236268434736545</v>
      </c>
    </row>
    <row r="21" spans="1:10" ht="15.75">
      <c r="A21" s="51" t="s">
        <v>30</v>
      </c>
      <c r="B21" s="21" t="s">
        <v>31</v>
      </c>
      <c r="C21" s="52">
        <f aca="true" t="shared" si="4" ref="C21:J21">(C20*C14)</f>
        <v>20.307467320783246</v>
      </c>
      <c r="D21" s="53">
        <f t="shared" si="4"/>
        <v>18.426857643249136</v>
      </c>
      <c r="E21" s="52">
        <f t="shared" si="4"/>
        <v>18.076754501558376</v>
      </c>
      <c r="F21" s="53">
        <f t="shared" si="4"/>
        <v>15.477175701174842</v>
      </c>
      <c r="G21" s="86">
        <f t="shared" si="4"/>
        <v>15.477175701174842</v>
      </c>
      <c r="H21" s="53">
        <f t="shared" si="4"/>
        <v>15.477175701174842</v>
      </c>
      <c r="I21" s="52">
        <f t="shared" si="4"/>
        <v>15.477175701174842</v>
      </c>
      <c r="J21" s="54">
        <f t="shared" si="4"/>
        <v>15.477175701174842</v>
      </c>
    </row>
    <row r="22" spans="1:10" ht="15.75">
      <c r="A22" s="51" t="s">
        <v>32</v>
      </c>
      <c r="B22" s="21" t="s">
        <v>33</v>
      </c>
      <c r="C22" s="52">
        <f>C15*2.7</f>
        <v>0</v>
      </c>
      <c r="D22" s="53">
        <f>D15*3.3</f>
        <v>0</v>
      </c>
      <c r="E22" s="52">
        <f>C15*3.6</f>
        <v>0</v>
      </c>
      <c r="F22" s="53">
        <f>C15*3.02</f>
        <v>0</v>
      </c>
      <c r="G22" s="86">
        <f>C15*3.58</f>
        <v>0</v>
      </c>
      <c r="H22" s="53">
        <f>C15*4.13</f>
        <v>0</v>
      </c>
      <c r="I22" s="52">
        <f>C15*4.69</f>
        <v>0</v>
      </c>
      <c r="J22" s="54">
        <f>C15*5.24</f>
        <v>0</v>
      </c>
    </row>
    <row r="23" spans="1:10" ht="15.75">
      <c r="A23" s="51" t="s">
        <v>34</v>
      </c>
      <c r="B23" s="21" t="s">
        <v>35</v>
      </c>
      <c r="C23" s="52">
        <f aca="true" t="shared" si="5" ref="C23:J23">C18/C11</f>
        <v>0</v>
      </c>
      <c r="D23" s="53">
        <f t="shared" si="5"/>
        <v>0</v>
      </c>
      <c r="E23" s="52">
        <f t="shared" si="5"/>
        <v>0</v>
      </c>
      <c r="F23" s="53">
        <f t="shared" si="5"/>
        <v>0</v>
      </c>
      <c r="G23" s="86">
        <f t="shared" si="5"/>
        <v>0</v>
      </c>
      <c r="H23" s="53">
        <f t="shared" si="5"/>
        <v>0</v>
      </c>
      <c r="I23" s="52">
        <f t="shared" si="5"/>
        <v>0</v>
      </c>
      <c r="J23" s="54">
        <f t="shared" si="5"/>
        <v>0</v>
      </c>
    </row>
    <row r="24" spans="1:10" ht="15.75">
      <c r="A24" s="51" t="s">
        <v>36</v>
      </c>
      <c r="B24" s="21" t="s">
        <v>37</v>
      </c>
      <c r="C24" s="52">
        <f>C50</f>
        <v>7.093834501761658</v>
      </c>
      <c r="D24" s="53">
        <f>(C50)</f>
        <v>7.093834501761658</v>
      </c>
      <c r="E24" s="52">
        <f>C50</f>
        <v>7.093834501761658</v>
      </c>
      <c r="F24" s="53">
        <f>C50</f>
        <v>7.093834501761658</v>
      </c>
      <c r="G24" s="86">
        <f>C50</f>
        <v>7.093834501761658</v>
      </c>
      <c r="H24" s="53">
        <f>C50</f>
        <v>7.093834501761658</v>
      </c>
      <c r="I24" s="52">
        <f>C50</f>
        <v>7.093834501761658</v>
      </c>
      <c r="J24" s="54">
        <f>C50</f>
        <v>7.093834501761658</v>
      </c>
    </row>
    <row r="25" spans="1:10" ht="15.75">
      <c r="A25" s="51" t="s">
        <v>38</v>
      </c>
      <c r="B25" s="21" t="s">
        <v>39</v>
      </c>
      <c r="C25" s="52">
        <f aca="true" t="shared" si="6" ref="C25:J25">(0.8+($D$50)*(($C$16-1)^0.333))*$C$13</f>
        <v>20.672798279487786</v>
      </c>
      <c r="D25" s="53">
        <f t="shared" si="6"/>
        <v>20.672798279487786</v>
      </c>
      <c r="E25" s="52">
        <f t="shared" si="6"/>
        <v>20.672798279487786</v>
      </c>
      <c r="F25" s="53">
        <f t="shared" si="6"/>
        <v>20.672798279487786</v>
      </c>
      <c r="G25" s="86">
        <f t="shared" si="6"/>
        <v>20.672798279487786</v>
      </c>
      <c r="H25" s="53">
        <f t="shared" si="6"/>
        <v>20.672798279487786</v>
      </c>
      <c r="I25" s="52">
        <f t="shared" si="6"/>
        <v>20.672798279487786</v>
      </c>
      <c r="J25" s="54">
        <f t="shared" si="6"/>
        <v>20.672798279487786</v>
      </c>
    </row>
    <row r="26" spans="1:10" ht="15.75">
      <c r="A26" s="51" t="s">
        <v>40</v>
      </c>
      <c r="B26" s="21" t="s">
        <v>41</v>
      </c>
      <c r="C26" s="52">
        <f aca="true" t="shared" si="7" ref="C26:J26">0.1*(C25+C24)</f>
        <v>2.7766632781249445</v>
      </c>
      <c r="D26" s="53">
        <f t="shared" si="7"/>
        <v>2.7766632781249445</v>
      </c>
      <c r="E26" s="52">
        <f t="shared" si="7"/>
        <v>2.7766632781249445</v>
      </c>
      <c r="F26" s="53">
        <f t="shared" si="7"/>
        <v>2.7766632781249445</v>
      </c>
      <c r="G26" s="86">
        <f t="shared" si="7"/>
        <v>2.7766632781249445</v>
      </c>
      <c r="H26" s="53">
        <f t="shared" si="7"/>
        <v>2.7766632781249445</v>
      </c>
      <c r="I26" s="52">
        <f t="shared" si="7"/>
        <v>2.7766632781249445</v>
      </c>
      <c r="J26" s="54">
        <f t="shared" si="7"/>
        <v>2.7766632781249445</v>
      </c>
    </row>
    <row r="27" spans="1:10" ht="15.75">
      <c r="A27" s="55"/>
      <c r="B27" s="20"/>
      <c r="C27" s="56"/>
      <c r="D27" s="20"/>
      <c r="E27" s="56"/>
      <c r="F27" s="20"/>
      <c r="G27" s="87"/>
      <c r="H27" s="20"/>
      <c r="I27" s="56"/>
      <c r="J27" s="23"/>
    </row>
    <row r="28" spans="1:10" ht="15.75">
      <c r="A28" s="96" t="s">
        <v>42</v>
      </c>
      <c r="B28" s="97" t="s">
        <v>43</v>
      </c>
      <c r="C28" s="98">
        <f aca="true" t="shared" si="8" ref="C28:J28">SUM(C21:C26)</f>
        <v>50.85076338015763</v>
      </c>
      <c r="D28" s="99">
        <f t="shared" si="8"/>
        <v>48.97015370262352</v>
      </c>
      <c r="E28" s="98">
        <f t="shared" si="8"/>
        <v>48.62005056093277</v>
      </c>
      <c r="F28" s="99">
        <f t="shared" si="8"/>
        <v>46.02047176054923</v>
      </c>
      <c r="G28" s="98">
        <f t="shared" si="8"/>
        <v>46.02047176054923</v>
      </c>
      <c r="H28" s="99">
        <f t="shared" si="8"/>
        <v>46.02047176054923</v>
      </c>
      <c r="I28" s="98">
        <f t="shared" si="8"/>
        <v>46.02047176054923</v>
      </c>
      <c r="J28" s="100">
        <f t="shared" si="8"/>
        <v>46.02047176054923</v>
      </c>
    </row>
    <row r="29" spans="1:10" ht="15.75">
      <c r="A29" s="55"/>
      <c r="B29" s="20"/>
      <c r="C29" s="56"/>
      <c r="D29" s="20"/>
      <c r="E29" s="56"/>
      <c r="F29" s="20"/>
      <c r="G29" s="87"/>
      <c r="H29" s="20"/>
      <c r="I29" s="56"/>
      <c r="J29" s="23"/>
    </row>
    <row r="30" spans="1:10" ht="15.75">
      <c r="A30" s="89" t="s">
        <v>44</v>
      </c>
      <c r="B30" s="90" t="s">
        <v>45</v>
      </c>
      <c r="C30" s="86">
        <f aca="true" t="shared" si="9" ref="C30:J30">((60*5)/C28)*C13</f>
        <v>61.35601105287337</v>
      </c>
      <c r="D30" s="91">
        <f t="shared" si="9"/>
        <v>63.71227705239671</v>
      </c>
      <c r="E30" s="86">
        <f t="shared" si="9"/>
        <v>64.17105626185806</v>
      </c>
      <c r="F30" s="91">
        <f t="shared" si="9"/>
        <v>67.79591517952672</v>
      </c>
      <c r="G30" s="86">
        <f t="shared" si="9"/>
        <v>67.79591517952672</v>
      </c>
      <c r="H30" s="91">
        <f t="shared" si="9"/>
        <v>67.79591517952672</v>
      </c>
      <c r="I30" s="86">
        <f t="shared" si="9"/>
        <v>67.79591517952672</v>
      </c>
      <c r="J30" s="92">
        <f t="shared" si="9"/>
        <v>67.79591517952672</v>
      </c>
    </row>
    <row r="31" spans="1:10" ht="15.75">
      <c r="A31" s="55"/>
      <c r="B31" s="20"/>
      <c r="C31" s="56"/>
      <c r="D31" s="20"/>
      <c r="E31" s="56"/>
      <c r="F31" s="20"/>
      <c r="G31" s="87"/>
      <c r="H31" s="20"/>
      <c r="I31" s="56"/>
      <c r="J31" s="23"/>
    </row>
    <row r="32" spans="1:10" ht="15.75">
      <c r="A32" s="51" t="s">
        <v>46</v>
      </c>
      <c r="B32" s="21" t="s">
        <v>47</v>
      </c>
      <c r="C32" s="52">
        <f>(C5/C30)</f>
        <v>1.100136707743795</v>
      </c>
      <c r="D32" s="53">
        <f>(C5/D30)</f>
        <v>1.0594504406817589</v>
      </c>
      <c r="E32" s="52">
        <f>(C5/E30)</f>
        <v>1.0518760938663339</v>
      </c>
      <c r="F32" s="53">
        <f>(C5/F30)</f>
        <v>0.9956352063580362</v>
      </c>
      <c r="G32" s="86">
        <f>(C5/G30)</f>
        <v>0.9956352063580362</v>
      </c>
      <c r="H32" s="53">
        <f>(C5/H30)</f>
        <v>0.9956352063580362</v>
      </c>
      <c r="I32" s="52">
        <f>(C5/I30)</f>
        <v>0.9956352063580362</v>
      </c>
      <c r="J32" s="54">
        <f>(C5/J30)</f>
        <v>0.9956352063580362</v>
      </c>
    </row>
    <row r="33" spans="1:10" ht="15.75">
      <c r="A33" s="55"/>
      <c r="B33" s="20"/>
      <c r="C33" s="56"/>
      <c r="D33" s="20"/>
      <c r="E33" s="56"/>
      <c r="F33" s="20"/>
      <c r="G33" s="87"/>
      <c r="H33" s="20"/>
      <c r="I33" s="56"/>
      <c r="J33" s="23"/>
    </row>
    <row r="34" spans="1:10" ht="15.75">
      <c r="A34" s="51" t="s">
        <v>48</v>
      </c>
      <c r="B34" s="21" t="s">
        <v>49</v>
      </c>
      <c r="C34" s="52">
        <f>C7</f>
        <v>2.25</v>
      </c>
      <c r="D34" s="53">
        <f>C7</f>
        <v>2.25</v>
      </c>
      <c r="E34" s="52">
        <f>C7</f>
        <v>2.25</v>
      </c>
      <c r="F34" s="53">
        <f>C7</f>
        <v>2.25</v>
      </c>
      <c r="G34" s="86">
        <f>C7</f>
        <v>2.25</v>
      </c>
      <c r="H34" s="53">
        <f>C7</f>
        <v>2.25</v>
      </c>
      <c r="I34" s="52">
        <f>C7</f>
        <v>2.25</v>
      </c>
      <c r="J34" s="54">
        <f>C7</f>
        <v>2.25</v>
      </c>
    </row>
    <row r="35" spans="1:10" ht="15.75">
      <c r="A35" s="55"/>
      <c r="B35" s="20"/>
      <c r="C35" s="56"/>
      <c r="D35" s="20"/>
      <c r="E35" s="56"/>
      <c r="F35" s="20"/>
      <c r="G35" s="87"/>
      <c r="H35" s="20"/>
      <c r="I35" s="56"/>
      <c r="J35" s="23"/>
    </row>
    <row r="36" spans="1:10" ht="15.75">
      <c r="A36" s="96" t="s">
        <v>50</v>
      </c>
      <c r="B36" s="97" t="s">
        <v>51</v>
      </c>
      <c r="C36" s="98">
        <f aca="true" t="shared" si="10" ref="C36:J36">(C28/C34)</f>
        <v>22.60033928007006</v>
      </c>
      <c r="D36" s="99">
        <f t="shared" si="10"/>
        <v>21.764512756721565</v>
      </c>
      <c r="E36" s="98">
        <f t="shared" si="10"/>
        <v>21.608911360414563</v>
      </c>
      <c r="F36" s="99">
        <f t="shared" si="10"/>
        <v>20.453543004688544</v>
      </c>
      <c r="G36" s="98">
        <f t="shared" si="10"/>
        <v>20.453543004688544</v>
      </c>
      <c r="H36" s="99">
        <f t="shared" si="10"/>
        <v>20.453543004688544</v>
      </c>
      <c r="I36" s="98">
        <f t="shared" si="10"/>
        <v>20.453543004688544</v>
      </c>
      <c r="J36" s="100">
        <f t="shared" si="10"/>
        <v>20.453543004688544</v>
      </c>
    </row>
    <row r="37" spans="1:10" ht="15.75">
      <c r="A37" s="55"/>
      <c r="B37" s="20"/>
      <c r="C37" s="56"/>
      <c r="D37" s="20"/>
      <c r="E37" s="56"/>
      <c r="F37" s="21" t="s">
        <v>52</v>
      </c>
      <c r="G37" s="87"/>
      <c r="H37" s="20"/>
      <c r="I37" s="56"/>
      <c r="J37" s="23"/>
    </row>
    <row r="38" spans="1:10" ht="15.75">
      <c r="A38" s="96" t="s">
        <v>53</v>
      </c>
      <c r="B38" s="97" t="s">
        <v>54</v>
      </c>
      <c r="C38" s="98">
        <f aca="true" t="shared" si="11" ref="C38:J38">(C36*0.55)</f>
        <v>12.430186604038534</v>
      </c>
      <c r="D38" s="99">
        <f t="shared" si="11"/>
        <v>11.970482016196861</v>
      </c>
      <c r="E38" s="98">
        <f t="shared" si="11"/>
        <v>11.88490124822801</v>
      </c>
      <c r="F38" s="99">
        <f t="shared" si="11"/>
        <v>11.2494486525787</v>
      </c>
      <c r="G38" s="98">
        <f t="shared" si="11"/>
        <v>11.2494486525787</v>
      </c>
      <c r="H38" s="99">
        <f t="shared" si="11"/>
        <v>11.2494486525787</v>
      </c>
      <c r="I38" s="98">
        <f t="shared" si="11"/>
        <v>11.2494486525787</v>
      </c>
      <c r="J38" s="100">
        <f t="shared" si="11"/>
        <v>11.2494486525787</v>
      </c>
    </row>
    <row r="39" spans="1:10" ht="15.75">
      <c r="A39" s="55"/>
      <c r="B39" s="20"/>
      <c r="C39" s="56"/>
      <c r="D39" s="20"/>
      <c r="E39" s="56"/>
      <c r="F39" s="20"/>
      <c r="G39" s="87"/>
      <c r="H39" s="20"/>
      <c r="I39" s="56"/>
      <c r="J39" s="23"/>
    </row>
    <row r="40" spans="1:10" ht="15.75">
      <c r="A40" s="96" t="s">
        <v>55</v>
      </c>
      <c r="B40" s="97" t="s">
        <v>56</v>
      </c>
      <c r="C40" s="98">
        <f>((C30*C34)/C4)*100</f>
        <v>30.67800552643668</v>
      </c>
      <c r="D40" s="99">
        <f>((D30*D34)/C4)*100</f>
        <v>31.85613852619835</v>
      </c>
      <c r="E40" s="98">
        <f>((E30*E34)/C4)*100</f>
        <v>32.08552813092903</v>
      </c>
      <c r="F40" s="99">
        <f>((F30*F34)/C4)*100</f>
        <v>33.89795758976336</v>
      </c>
      <c r="G40" s="98">
        <f>((G30*G34)/C4)*100</f>
        <v>33.89795758976336</v>
      </c>
      <c r="H40" s="99">
        <f>((H30*H34)/C4)*100</f>
        <v>33.89795758976336</v>
      </c>
      <c r="I40" s="98">
        <f>((I30*I34)/C4)*100</f>
        <v>33.89795758976336</v>
      </c>
      <c r="J40" s="100">
        <f>((J30*J34)/C4)*100</f>
        <v>33.89795758976336</v>
      </c>
    </row>
    <row r="41" spans="1:10" ht="15.75">
      <c r="A41" s="55"/>
      <c r="B41" s="20"/>
      <c r="C41" s="56"/>
      <c r="D41" s="20"/>
      <c r="E41" s="56"/>
      <c r="F41" s="20"/>
      <c r="G41" s="87"/>
      <c r="H41" s="20"/>
      <c r="I41" s="56"/>
      <c r="J41" s="23"/>
    </row>
    <row r="42" spans="1:10" ht="15.75">
      <c r="A42" s="96" t="s">
        <v>57</v>
      </c>
      <c r="B42" s="97" t="s">
        <v>58</v>
      </c>
      <c r="C42" s="98">
        <f aca="true" t="shared" si="12" ref="C42:J42">(500/C40)</f>
        <v>16.29832159620437</v>
      </c>
      <c r="D42" s="99">
        <f t="shared" si="12"/>
        <v>15.695562084174206</v>
      </c>
      <c r="E42" s="98">
        <f t="shared" si="12"/>
        <v>15.583349538760503</v>
      </c>
      <c r="F42" s="99">
        <f t="shared" si="12"/>
        <v>14.75015120530424</v>
      </c>
      <c r="G42" s="98">
        <f t="shared" si="12"/>
        <v>14.75015120530424</v>
      </c>
      <c r="H42" s="99">
        <f t="shared" si="12"/>
        <v>14.75015120530424</v>
      </c>
      <c r="I42" s="98">
        <f t="shared" si="12"/>
        <v>14.75015120530424</v>
      </c>
      <c r="J42" s="100">
        <f t="shared" si="12"/>
        <v>14.75015120530424</v>
      </c>
    </row>
    <row r="43" spans="1:10" ht="16.5" thickBot="1">
      <c r="A43" s="57"/>
      <c r="B43" s="41"/>
      <c r="C43" s="58"/>
      <c r="D43" s="41"/>
      <c r="E43" s="58"/>
      <c r="F43" s="41"/>
      <c r="G43" s="88"/>
      <c r="H43" s="41"/>
      <c r="I43" s="58"/>
      <c r="J43" s="59"/>
    </row>
    <row r="44" ht="15.75"/>
    <row r="45" ht="15.75"/>
    <row r="46" ht="15.75"/>
    <row r="47" ht="15.75"/>
    <row r="48" ht="15.75"/>
    <row r="49" ht="15.75"/>
    <row r="50" spans="3:10" ht="15.75">
      <c r="C50" s="94">
        <f>IF($C$6=800,$C$16*2,$C$51)</f>
        <v>7.093834501761658</v>
      </c>
      <c r="D50" s="94">
        <f>IF(C$6=800,1,D$51)</f>
        <v>0.95</v>
      </c>
      <c r="E50" s="94">
        <f>IF(C$6=800,1,D$51)</f>
        <v>0.95</v>
      </c>
      <c r="F50" s="94">
        <v>0</v>
      </c>
      <c r="G50" s="94">
        <v>0</v>
      </c>
      <c r="H50" s="94">
        <v>0</v>
      </c>
      <c r="I50" s="94">
        <v>0</v>
      </c>
      <c r="J50" s="94">
        <v>0</v>
      </c>
    </row>
    <row r="51" spans="3:10" ht="15.75">
      <c r="C51" s="94">
        <f>IF($C$6=850,$C$16*2.2,$C$52)</f>
        <v>7.093834501761658</v>
      </c>
      <c r="D51" s="94">
        <f>IF(C$6=850,1,D$52)</f>
        <v>0.95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</row>
    <row r="52" spans="3:10" ht="15.75">
      <c r="C52" s="94">
        <f>IF($C$6=900,$C$16*2.4,$C$53)</f>
        <v>7.093834501761658</v>
      </c>
      <c r="D52" s="94">
        <f>IF(C$6=900,0.95,D$53)</f>
        <v>0.95</v>
      </c>
      <c r="E52" s="95"/>
      <c r="F52" s="95"/>
      <c r="G52" s="95"/>
      <c r="H52" s="95"/>
      <c r="I52" s="95"/>
      <c r="J52" s="95"/>
    </row>
    <row r="53" spans="3:10" ht="15.75">
      <c r="C53" s="94">
        <f>IF($C$6=950,$C$16*2.6,$C54)</f>
        <v>0</v>
      </c>
      <c r="D53" s="94">
        <f>IF(C$6=950,0.95,D$54)</f>
        <v>0</v>
      </c>
      <c r="E53" s="95"/>
      <c r="F53" s="95"/>
      <c r="G53" s="95"/>
      <c r="H53" s="95"/>
      <c r="I53" s="95"/>
      <c r="J53" s="95"/>
    </row>
    <row r="54" spans="3:10" ht="15.75">
      <c r="C54" s="94">
        <f>IF(C$6=1000,C$16*2.8,C55)</f>
        <v>0</v>
      </c>
      <c r="D54" s="94">
        <f>IF(C$6=1000,0.9,D$55)</f>
        <v>0</v>
      </c>
      <c r="E54" s="95"/>
      <c r="F54" s="95"/>
      <c r="G54" s="95"/>
      <c r="H54" s="95"/>
      <c r="I54" s="95"/>
      <c r="J54" s="95"/>
    </row>
    <row r="55" spans="3:10" ht="15.75">
      <c r="C55" s="94">
        <f>IF(C$6=1050,C$16*3,C56)</f>
        <v>0</v>
      </c>
      <c r="D55" s="94">
        <f>IF(C$6=1050,0.88,D$56)</f>
        <v>0</v>
      </c>
      <c r="E55" s="95"/>
      <c r="F55" s="95"/>
      <c r="G55" s="95"/>
      <c r="H55" s="95"/>
      <c r="I55" s="95"/>
      <c r="J55" s="95"/>
    </row>
    <row r="56" spans="3:10" ht="15.75">
      <c r="C56" s="94">
        <f>IF(C$6=1100,C$16*3.3,C57)</f>
        <v>0</v>
      </c>
      <c r="D56" s="94">
        <f>IF(C$6=1100,0.85,D$57)</f>
        <v>0</v>
      </c>
      <c r="E56" s="95"/>
      <c r="F56" s="95"/>
      <c r="G56" s="95"/>
      <c r="H56" s="95"/>
      <c r="I56" s="95"/>
      <c r="J56" s="95"/>
    </row>
    <row r="57" spans="3:10" ht="15.75">
      <c r="C57" s="94">
        <f>IF(C$6=1150,C$16*3.4,C58)</f>
        <v>0</v>
      </c>
      <c r="D57" s="94">
        <f>IF(C$6=1150,0.85,D$58)</f>
        <v>0</v>
      </c>
      <c r="E57" s="95"/>
      <c r="F57" s="95"/>
      <c r="G57" s="95"/>
      <c r="H57" s="95"/>
      <c r="I57" s="95"/>
      <c r="J57" s="95"/>
    </row>
    <row r="58" spans="3:10" ht="15.75">
      <c r="C58" s="94">
        <f>IF(C$6=1200,C$16*3.7,C59)</f>
        <v>0</v>
      </c>
      <c r="D58" s="94">
        <f>IF(C$6=1200,0.8,D$59)</f>
        <v>0</v>
      </c>
      <c r="E58" s="95"/>
      <c r="F58" s="95"/>
      <c r="G58" s="95"/>
      <c r="H58" s="95"/>
      <c r="I58" s="95"/>
      <c r="J58" s="95"/>
    </row>
    <row r="59" spans="3:10" ht="15.75">
      <c r="C59" s="94">
        <f>IF(C$6=1250,C$16*4,C60)</f>
        <v>0</v>
      </c>
      <c r="D59" s="94">
        <f>IF(C$6=1250,0.78,D$60)</f>
        <v>0</v>
      </c>
      <c r="E59" s="95"/>
      <c r="F59" s="95"/>
      <c r="G59" s="95"/>
      <c r="H59" s="95"/>
      <c r="I59" s="95"/>
      <c r="J59" s="95"/>
    </row>
    <row r="60" spans="3:10" ht="15.75">
      <c r="C60" s="94">
        <f>IF(C$6=1300,C$16*4.2,C61)</f>
        <v>0</v>
      </c>
      <c r="D60" s="94">
        <f>IF(C$6=1300,0.75,D$61)</f>
        <v>0</v>
      </c>
      <c r="E60" s="95"/>
      <c r="F60" s="95"/>
      <c r="G60" s="95"/>
      <c r="H60" s="95"/>
      <c r="I60" s="95"/>
      <c r="J60" s="95"/>
    </row>
    <row r="61" spans="3:10" ht="15.75">
      <c r="C61" s="94">
        <f>IF(C$6=1350,C$16*4.4,C62)</f>
        <v>0</v>
      </c>
      <c r="D61" s="94">
        <f>IF(C$6=1350,0.75,D$62)</f>
        <v>0</v>
      </c>
      <c r="E61" s="95"/>
      <c r="F61" s="95"/>
      <c r="G61" s="95"/>
      <c r="H61" s="95"/>
      <c r="I61" s="95"/>
      <c r="J61" s="95"/>
    </row>
    <row r="62" spans="3:10" ht="15.75">
      <c r="C62" s="94">
        <f>IF($C35=1400,$C27*4.7,C63)</f>
        <v>0</v>
      </c>
      <c r="D62" s="94">
        <f>IF(C$6=1400,0.7,D$63)</f>
        <v>0</v>
      </c>
      <c r="E62" s="95"/>
      <c r="F62" s="95"/>
      <c r="G62" s="95"/>
      <c r="H62" s="95"/>
      <c r="I62" s="95"/>
      <c r="J62" s="95"/>
    </row>
    <row r="63" spans="3:10" ht="15.75">
      <c r="C63" s="94">
        <f>IF($C$6=1500,$C$16*5.1,C64)</f>
        <v>0</v>
      </c>
      <c r="D63" s="94">
        <f>IF(C$6=1500,0.65,D$64)</f>
        <v>0</v>
      </c>
      <c r="E63" s="95"/>
      <c r="F63" s="95"/>
      <c r="G63" s="95"/>
      <c r="H63" s="95"/>
      <c r="I63" s="95"/>
      <c r="J63" s="95"/>
    </row>
  </sheetData>
  <mergeCells count="2">
    <mergeCell ref="B2:C2"/>
    <mergeCell ref="A1:J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Traffic Analysis</dc:title>
  <dc:subject>Lift traffic study</dc:subject>
  <dc:creator>User</dc:creator>
  <cp:keywords/>
  <dc:description/>
  <cp:lastModifiedBy>Benard Makaa</cp:lastModifiedBy>
  <cp:lastPrinted>2011-06-03T09:33:43Z</cp:lastPrinted>
  <dcterms:created xsi:type="dcterms:W3CDTF">1996-07-02T10:25:42Z</dcterms:created>
  <dcterms:modified xsi:type="dcterms:W3CDTF">2017-02-14T11:42:35Z</dcterms:modified>
  <cp:category/>
  <cp:version/>
  <cp:contentType/>
  <cp:contentStatus/>
</cp:coreProperties>
</file>